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iktorkide-my.sharepoint.com/personal/kjersti_rosberg_klokseth_kristiansund_kommune_no/Documents/Kjerstis dokumenter/Politiske saker/2026 Finansiering av private barnehager/"/>
    </mc:Choice>
  </mc:AlternateContent>
  <xr:revisionPtr revIDLastSave="7" documentId="8_{4E3843E1-347D-441E-8A92-9C48946F82AC}" xr6:coauthVersionLast="47" xr6:coauthVersionMax="47" xr10:uidLastSave="{69E453E6-9E76-465B-9189-9AFD58B630BE}"/>
  <bookViews>
    <workbookView xWindow="-105" yWindow="0" windowWidth="25815" windowHeight="20985" tabRatio="791" firstSheet="9" activeTab="11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Telling barn" sheetId="15" r:id="rId4"/>
    <sheet name="3a. Økonomirapport 201" sheetId="4" r:id="rId5"/>
    <sheet name="3b. Økonomirapport 221" sheetId="5" r:id="rId6"/>
    <sheet name="4. Selvkost og satser" sheetId="6" r:id="rId7"/>
    <sheet name="4X. Korreksjoner §19" sheetId="13" r:id="rId8"/>
    <sheet name="X. Satser pensjonstilskudd" sheetId="12" r:id="rId9"/>
    <sheet name="X. Budsjett og forskuddsmodul" sheetId="14" r:id="rId10"/>
    <sheet name="X. Utbetalingsmodul" sheetId="10" r:id="rId11"/>
    <sheet name="17000" sheetId="18" r:id="rId12"/>
    <sheet name="17500" sheetId="19" r:id="rId13"/>
    <sheet name="17002" sheetId="21" r:id="rId14"/>
    <sheet name="Erasmus" sheetId="20" r:id="rId15"/>
    <sheet name="Forsikringer" sheetId="16" r:id="rId16"/>
    <sheet name="Pensjon Særskilt" sheetId="9" r:id="rId17"/>
    <sheet name="Metadata" sheetId="8" r:id="rId18"/>
    <sheet name="Endringslogg" sheetId="7" r:id="rId19"/>
  </sheets>
  <definedNames>
    <definedName name="_xlnm._FilterDatabase" localSheetId="4" hidden="1">'3a. Økonomirapport 201'!$A$3:$O$413</definedName>
    <definedName name="_xlnm._FilterDatabase" localSheetId="5" hidden="1">'3b. Økonomirapport 221'!$A$3:$Y$96</definedName>
    <definedName name="Barnehagetype" localSheetId="11">factType[Type barnehage]</definedName>
    <definedName name="Barnehagetype" localSheetId="9">factType[Type barnehage]</definedName>
    <definedName name="Barnehagetype">factType[Type barnehage]</definedName>
    <definedName name="Gruppering" localSheetId="11">Tabell4[Gruppering]</definedName>
    <definedName name="Gruppering" localSheetId="7">Tabell4[Gruppering]</definedName>
    <definedName name="Gruppering" localSheetId="9">Tabell4[Gruppering]</definedName>
    <definedName name="Gruppering" localSheetId="8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6" l="1"/>
  <c r="H12" i="21"/>
  <c r="B34" i="6" l="1"/>
  <c r="I90" i="20" l="1"/>
  <c r="B38" i="6" s="1"/>
  <c r="I69" i="20"/>
  <c r="B36" i="6" l="1"/>
  <c r="B35" i="6"/>
  <c r="I81" i="18" l="1"/>
  <c r="I52" i="18"/>
  <c r="I101" i="18" s="1"/>
  <c r="H9" i="18"/>
  <c r="B33" i="6" l="1"/>
  <c r="H101" i="18"/>
  <c r="B30" i="6" l="1"/>
  <c r="M15" i="16" l="1"/>
  <c r="K40" i="15" l="1"/>
  <c r="J40" i="15"/>
  <c r="I40" i="15"/>
  <c r="H40" i="15"/>
  <c r="G40" i="15"/>
  <c r="F40" i="15"/>
  <c r="E40" i="15"/>
  <c r="D40" i="15"/>
  <c r="K39" i="15"/>
  <c r="J39" i="15"/>
  <c r="I39" i="15"/>
  <c r="H39" i="15"/>
  <c r="G39" i="15"/>
  <c r="F39" i="15"/>
  <c r="E39" i="15"/>
  <c r="D39" i="15"/>
  <c r="K38" i="15"/>
  <c r="J38" i="15"/>
  <c r="I38" i="15"/>
  <c r="H38" i="15"/>
  <c r="G38" i="15"/>
  <c r="F38" i="15"/>
  <c r="E38" i="15"/>
  <c r="D38" i="15"/>
  <c r="K36" i="15"/>
  <c r="J36" i="15"/>
  <c r="I36" i="15"/>
  <c r="H36" i="15"/>
  <c r="G36" i="15"/>
  <c r="F36" i="15"/>
  <c r="E36" i="15"/>
  <c r="D36" i="15"/>
  <c r="K35" i="15"/>
  <c r="J35" i="15"/>
  <c r="I35" i="15"/>
  <c r="H35" i="15"/>
  <c r="G35" i="15"/>
  <c r="F35" i="15"/>
  <c r="E35" i="15"/>
  <c r="D35" i="15"/>
  <c r="K34" i="15"/>
  <c r="J34" i="15"/>
  <c r="I34" i="15"/>
  <c r="H34" i="15"/>
  <c r="G34" i="15"/>
  <c r="F34" i="15"/>
  <c r="E34" i="15"/>
  <c r="D34" i="15"/>
  <c r="K33" i="15"/>
  <c r="J33" i="15"/>
  <c r="I33" i="15"/>
  <c r="H33" i="15"/>
  <c r="G33" i="15"/>
  <c r="F33" i="15"/>
  <c r="E33" i="15"/>
  <c r="K31" i="15"/>
  <c r="J31" i="15"/>
  <c r="I31" i="15"/>
  <c r="H31" i="15"/>
  <c r="G31" i="15"/>
  <c r="F31" i="15"/>
  <c r="E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L36" i="15" l="1"/>
  <c r="G46" i="15"/>
  <c r="G48" i="15" s="1"/>
  <c r="G47" i="15"/>
  <c r="H46" i="15"/>
  <c r="H48" i="15" s="1"/>
  <c r="H47" i="15"/>
  <c r="I46" i="15"/>
  <c r="F46" i="15"/>
  <c r="J46" i="15"/>
  <c r="J48" i="15" s="1"/>
  <c r="J47" i="15"/>
  <c r="K46" i="15"/>
  <c r="K48" i="15" s="1"/>
  <c r="K47" i="15"/>
  <c r="F42" i="15"/>
  <c r="L40" i="15"/>
  <c r="L35" i="15"/>
  <c r="I47" i="15"/>
  <c r="I48" i="15" s="1"/>
  <c r="L39" i="15"/>
  <c r="E43" i="15"/>
  <c r="E47" i="15"/>
  <c r="E46" i="15"/>
  <c r="F43" i="15"/>
  <c r="F44" i="15" s="1"/>
  <c r="L34" i="15"/>
  <c r="G42" i="15"/>
  <c r="G43" i="15"/>
  <c r="F47" i="15"/>
  <c r="F48" i="15" s="1"/>
  <c r="H42" i="15"/>
  <c r="H43" i="15"/>
  <c r="E42" i="15"/>
  <c r="L38" i="15"/>
  <c r="I42" i="15"/>
  <c r="I43" i="15"/>
  <c r="J42" i="15"/>
  <c r="J43" i="15"/>
  <c r="K42" i="15"/>
  <c r="K43" i="15"/>
  <c r="H44" i="15" l="1"/>
  <c r="K44" i="15"/>
  <c r="L42" i="15"/>
  <c r="E44" i="15"/>
  <c r="L46" i="15"/>
  <c r="B48" i="6" s="1"/>
  <c r="B55" i="6" s="1"/>
  <c r="E48" i="15"/>
  <c r="L47" i="15"/>
  <c r="B49" i="6" s="1"/>
  <c r="L43" i="15"/>
  <c r="J44" i="15"/>
  <c r="I44" i="15"/>
  <c r="G44" i="15"/>
  <c r="L48" i="15" l="1"/>
  <c r="L44" i="15"/>
  <c r="S14" i="4" l="1"/>
  <c r="B10" i="6" s="1"/>
  <c r="C10" i="1"/>
  <c r="B56" i="6" l="1"/>
  <c r="T6" i="5"/>
  <c r="T5" i="5"/>
  <c r="T4" i="5"/>
  <c r="B13" i="1" l="1"/>
  <c r="B14" i="1"/>
  <c r="O590" i="14"/>
  <c r="P590" i="14"/>
  <c r="Q590" i="14"/>
  <c r="R590" i="14"/>
  <c r="S590" i="14"/>
  <c r="T590" i="14"/>
  <c r="E21" i="12"/>
  <c r="B5" i="12" a="1"/>
  <c r="C5" i="12" a="1"/>
  <c r="J5" i="14" l="1" a="1"/>
  <c r="J5" i="14" s="1"/>
  <c r="J590" i="14" s="1"/>
  <c r="G5" i="12" a="1"/>
  <c r="G5" i="12" s="1"/>
  <c r="C5" i="12"/>
  <c r="C21" i="12" s="1"/>
  <c r="C5" i="10" a="1"/>
  <c r="C5" i="14" a="1"/>
  <c r="B5" i="12"/>
  <c r="B21" i="12" s="1"/>
  <c r="B5" i="10" a="1"/>
  <c r="B5" i="14" a="1"/>
  <c r="A5" i="12" a="1"/>
  <c r="A5" i="12" s="1"/>
  <c r="D5" i="12" l="1" a="1"/>
  <c r="D5" i="12" s="1"/>
  <c r="B5" i="14"/>
  <c r="A5" i="14" s="1" a="1"/>
  <c r="A5" i="14" s="1"/>
  <c r="B5" i="10"/>
  <c r="A5" i="10" s="1" a="1"/>
  <c r="A5" i="10" s="1"/>
  <c r="C5" i="14"/>
  <c r="G5" i="14" s="1" a="1"/>
  <c r="G5" i="14" s="1"/>
  <c r="C5" i="10"/>
  <c r="J5" i="10" s="1" a="1"/>
  <c r="J5" i="10" s="1"/>
  <c r="F5" i="12"/>
  <c r="U4" i="4"/>
  <c r="X4" i="4" s="1"/>
  <c r="S4" i="4"/>
  <c r="B5" i="6" s="1"/>
  <c r="T30" i="5"/>
  <c r="S31" i="4"/>
  <c r="T29" i="5" a="1"/>
  <c r="T29" i="5" s="1"/>
  <c r="S30" i="4" a="1"/>
  <c r="S30" i="4" s="1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V4" i="4"/>
  <c r="B5" i="13" s="1"/>
  <c r="W4" i="4"/>
  <c r="C5" i="13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T7" i="5"/>
  <c r="B21" i="6" s="1"/>
  <c r="T8" i="5"/>
  <c r="B22" i="6" s="1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7" i="6" s="1"/>
  <c r="S13" i="4"/>
  <c r="S15" i="4"/>
  <c r="S16" i="4"/>
  <c r="S17" i="4"/>
  <c r="B39" i="6" s="1"/>
  <c r="B40" i="6" s="1"/>
  <c r="S18" i="4"/>
  <c r="S19" i="4"/>
  <c r="S20" i="4"/>
  <c r="S21" i="4"/>
  <c r="S22" i="4"/>
  <c r="S23" i="4"/>
  <c r="S24" i="4"/>
  <c r="S25" i="4"/>
  <c r="S26" i="4"/>
  <c r="S27" i="4"/>
  <c r="S28" i="4"/>
  <c r="M3" i="12"/>
  <c r="J3" i="10"/>
  <c r="C9" i="1"/>
  <c r="E122" i="8"/>
  <c r="C11" i="1"/>
  <c r="F6" i="12"/>
  <c r="C8" i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X13" i="4"/>
  <c r="U14" i="4"/>
  <c r="V14" i="4" s="1"/>
  <c r="U15" i="4"/>
  <c r="X15" i="4" s="1"/>
  <c r="U16" i="4"/>
  <c r="V16" i="4" s="1"/>
  <c r="U17" i="4"/>
  <c r="V17" i="4" s="1"/>
  <c r="U18" i="4"/>
  <c r="X18" i="4" s="1"/>
  <c r="W18" i="4"/>
  <c r="U19" i="4"/>
  <c r="X19" i="4" s="1"/>
  <c r="W19" i="4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42" i="6"/>
  <c r="V13" i="4" l="1"/>
  <c r="W14" i="4"/>
  <c r="W21" i="4"/>
  <c r="X16" i="4"/>
  <c r="W6" i="4"/>
  <c r="C7" i="13" s="1"/>
  <c r="V15" i="4"/>
  <c r="V19" i="4"/>
  <c r="V18" i="4"/>
  <c r="X17" i="4"/>
  <c r="X10" i="4"/>
  <c r="X12" i="4"/>
  <c r="W15" i="4"/>
  <c r="X11" i="4"/>
  <c r="X8" i="4"/>
  <c r="W16" i="4"/>
  <c r="X7" i="4"/>
  <c r="X6" i="4"/>
  <c r="V21" i="4"/>
  <c r="W17" i="4"/>
  <c r="W20" i="4"/>
  <c r="X14" i="4"/>
  <c r="W9" i="4"/>
  <c r="C11" i="13" s="1"/>
  <c r="W8" i="4"/>
  <c r="C10" i="13" s="1"/>
  <c r="V5" i="4"/>
  <c r="B6" i="13" s="1"/>
  <c r="B8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44" i="13"/>
  <c r="C45" i="13"/>
  <c r="D5" i="10" a="1"/>
  <c r="D5" i="10" s="1"/>
  <c r="G5" i="10" a="1"/>
  <c r="G5" i="10" s="1"/>
  <c r="D5" i="14" a="1"/>
  <c r="D5" i="14" s="1"/>
  <c r="E5" i="14" a="1"/>
  <c r="E5" i="14" s="1"/>
  <c r="M5" i="14" s="1" a="1"/>
  <c r="M5" i="14" s="1"/>
  <c r="N5" i="14" s="1" a="1"/>
  <c r="N5" i="14" s="1"/>
  <c r="B19" i="13"/>
  <c r="B25" i="13" s="1"/>
  <c r="B20" i="6"/>
  <c r="B26" i="6" s="1"/>
  <c r="F21" i="12"/>
  <c r="B8" i="6"/>
  <c r="B15" i="6" s="1"/>
  <c r="E5" i="10" a="1"/>
  <c r="E5" i="10" s="1"/>
  <c r="H5" i="12" a="1"/>
  <c r="H5" i="12" s="1"/>
  <c r="H21" i="12" s="1"/>
  <c r="B50" i="6"/>
  <c r="B51" i="6" s="1"/>
  <c r="S33" i="4"/>
  <c r="C17" i="1" s="1"/>
  <c r="I20" i="12"/>
  <c r="I19" i="12"/>
  <c r="I18" i="12"/>
  <c r="I17" i="12"/>
  <c r="I16" i="12"/>
  <c r="I15" i="12"/>
  <c r="I14" i="12"/>
  <c r="I13" i="12"/>
  <c r="I12" i="12"/>
  <c r="C19" i="13"/>
  <c r="C25" i="13" s="1"/>
  <c r="C14" i="13" l="1"/>
  <c r="C34" i="13" s="1"/>
  <c r="C35" i="13" s="1"/>
  <c r="C36" i="13" s="1"/>
  <c r="C37" i="13" s="1"/>
  <c r="C38" i="13" s="1"/>
  <c r="B14" i="13"/>
  <c r="B34" i="13" s="1"/>
  <c r="B35" i="13" s="1"/>
  <c r="B36" i="13" s="1"/>
  <c r="M5" i="10" a="1"/>
  <c r="M5" i="10" s="1"/>
  <c r="N5" i="10" s="1" a="1"/>
  <c r="N5" i="10" s="1"/>
  <c r="I11" i="12"/>
  <c r="B52" i="6"/>
  <c r="I10" i="12"/>
  <c r="I7" i="12"/>
  <c r="I9" i="12"/>
  <c r="I8" i="12"/>
  <c r="I6" i="12"/>
  <c r="G590" i="14"/>
  <c r="E590" i="14"/>
  <c r="I5" i="12"/>
  <c r="B41" i="6"/>
  <c r="B42" i="6" s="1"/>
  <c r="B43" i="6" s="1"/>
  <c r="B44" i="6" l="1"/>
  <c r="C49" i="13"/>
  <c r="C54" i="13" s="1"/>
  <c r="C48" i="13"/>
  <c r="C53" i="13" s="1"/>
  <c r="I21" i="12"/>
  <c r="K5" i="10" a="1"/>
  <c r="K5" i="10" s="1"/>
  <c r="L5" i="10" s="1" a="1"/>
  <c r="L5" i="10" s="1"/>
  <c r="K5" i="14" a="1"/>
  <c r="N590" i="14"/>
  <c r="M590" i="14"/>
  <c r="B37" i="13"/>
  <c r="B38" i="13" s="1"/>
  <c r="B45" i="6" l="1"/>
  <c r="B49" i="13"/>
  <c r="B54" i="13" s="1"/>
  <c r="B48" i="13"/>
  <c r="B53" i="13" s="1"/>
  <c r="K5" i="14"/>
  <c r="K590" i="14" s="1"/>
  <c r="H5" i="14" a="1"/>
  <c r="H5" i="14" s="1"/>
  <c r="F5" i="14" a="1"/>
  <c r="B58" i="6" l="1"/>
  <c r="B59" i="6"/>
  <c r="L5" i="14" a="1"/>
  <c r="L5" i="14" s="1"/>
  <c r="L590" i="14" s="1"/>
  <c r="F5" i="14"/>
  <c r="I5" i="14" s="1" a="1"/>
  <c r="B62" i="6" l="1"/>
  <c r="H5" i="10" s="1" a="1"/>
  <c r="H5" i="10" s="1"/>
  <c r="B61" i="6"/>
  <c r="F5" i="10" s="1" a="1"/>
  <c r="F5" i="10" s="1"/>
  <c r="I5" i="14"/>
  <c r="U5" i="14" s="1" a="1"/>
  <c r="U5" i="14" s="1"/>
  <c r="I5" i="10" l="1" a="1"/>
  <c r="I5" i="10" s="1"/>
  <c r="U5" i="10" s="1" a="1"/>
  <c r="U5" i="10" s="1"/>
  <c r="I590" i="14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Arve Moen</author>
  </authors>
  <commentList>
    <comment ref="I138" authorId="0" shapeId="0" xr:uid="{AE7EBABB-7456-492E-BFC0-6A9404447A7B}">
      <text>
        <r>
          <rPr>
            <b/>
            <sz val="9"/>
            <color indexed="81"/>
            <rFont val="Tahoma"/>
            <charset val="1"/>
          </rPr>
          <t>Arve Moen:</t>
        </r>
        <r>
          <rPr>
            <sz val="9"/>
            <color indexed="81"/>
            <rFont val="Tahoma"/>
            <charset val="1"/>
          </rPr>
          <t xml:space="preserve">
Fordelte nett- og telefonikostnader 2025</t>
        </r>
      </text>
    </comment>
    <comment ref="I160" authorId="0" shapeId="0" xr:uid="{EB5E420C-5392-46AC-A88E-438DE9285017}">
      <text>
        <r>
          <rPr>
            <b/>
            <sz val="9"/>
            <color indexed="81"/>
            <rFont val="Tahoma"/>
            <charset val="1"/>
          </rPr>
          <t>Arve Moen:</t>
        </r>
        <r>
          <rPr>
            <sz val="9"/>
            <color indexed="81"/>
            <rFont val="Tahoma"/>
            <charset val="1"/>
          </rPr>
          <t xml:space="preserve">
Erasmus</t>
        </r>
      </text>
    </comment>
    <comment ref="I204" authorId="0" shapeId="0" xr:uid="{67F444B4-7C96-4470-B0D7-30229C86D0E0}">
      <text>
        <r>
          <rPr>
            <b/>
            <sz val="9"/>
            <color indexed="81"/>
            <rFont val="Tahoma"/>
            <charset val="1"/>
          </rPr>
          <t>Arve Moen:</t>
        </r>
        <r>
          <rPr>
            <sz val="9"/>
            <color indexed="81"/>
            <rFont val="Tahoma"/>
            <charset val="1"/>
          </rPr>
          <t xml:space="preserve">
Asbstprosjektet Nordlandet bhg- konsulentbistand</t>
        </r>
      </text>
    </comment>
    <comment ref="I210" authorId="0" shapeId="0" xr:uid="{1C0ECDA5-4059-4D64-B596-8A20F9F72EB7}">
      <text>
        <r>
          <rPr>
            <b/>
            <sz val="9"/>
            <color indexed="81"/>
            <rFont val="Tahoma"/>
            <charset val="1"/>
          </rPr>
          <t>Arve Moen:</t>
        </r>
        <r>
          <rPr>
            <sz val="9"/>
            <color indexed="81"/>
            <rFont val="Tahoma"/>
            <charset val="1"/>
          </rPr>
          <t xml:space="preserve">
Helt med stilling Karihola barnehage.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<sst xmlns="http://schemas.openxmlformats.org/spreadsheetml/2006/main" count="4545" uniqueCount="1235">
  <si>
    <t>TILSKUDDSMAL PRIVATE BARNEHAGER  –  §19a Grunntilskudd · §19b Pensjonstilskudd · §19c Eiendomstilskudd  (fra 2027)</t>
  </si>
  <si>
    <t>▌ A. BASISINNSTILLINGER</t>
  </si>
  <si>
    <t>Kommunenummer</t>
  </si>
  <si>
    <t>Firesifret kommunenummer</t>
  </si>
  <si>
    <t>Året tilskuddet gjelder for</t>
  </si>
  <si>
    <t>AGA-sats</t>
  </si>
  <si>
    <t>Hentes automatisk fra "arbeidsgiveravgift"*</t>
  </si>
  <si>
    <t>Administrasjonspåslag</t>
  </si>
  <si>
    <t>4,7 % av grunntilskudd jf. §19a og "forskrift"</t>
  </si>
  <si>
    <t>Foreldrebetaling  (kr/år) makspris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</si>
  <si>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</si>
  <si>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</si>
  <si>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</si>
  <si>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</si>
  <si>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</si>
  <si>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</si>
  <si>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</si>
  <si>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</si>
  <si>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Sats A</t>
  </si>
  <si>
    <t>Sats B</t>
  </si>
  <si>
    <t>Sats C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</si>
  <si>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</si>
  <si>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</si>
  <si>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</si>
  <si>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▌ D. LØNN PER BARNEHAGE §19b – DATAKILDE OG INNHENTING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</si>
  <si>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</si>
  <si>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</si>
  <si>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</si>
  <si>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</si>
  <si>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</si>
  <si>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</si>
  <si>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</si>
  <si>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</si>
  <si>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</si>
  <si>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</si>
  <si>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</si>
  <si>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</si>
  <si>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</si>
  <si>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</si>
  <si>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</si>
  <si>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Gran</t>
  </si>
  <si>
    <t>Innlandet</t>
  </si>
  <si>
    <t>Ordinær barnehage</t>
  </si>
  <si>
    <t>Familiebarnehage</t>
  </si>
  <si>
    <t>Organisasjonsnummer</t>
  </si>
  <si>
    <t>Barnehagenavn</t>
  </si>
  <si>
    <t>Kommunenavn</t>
  </si>
  <si>
    <t>Nr</t>
  </si>
  <si>
    <t>Org.nr</t>
  </si>
  <si>
    <t>Kolonne1</t>
  </si>
  <si>
    <t>▌ SEKSJON 2 – UTBETALINGSMODUL  §19a Grunntilskudd · §19b Pensjon · §19c Eiendom</t>
  </si>
  <si>
    <t>IDENTIFIKASJON</t>
  </si>
  <si>
    <t>§19b PENSJONSTILSKUDD</t>
  </si>
  <si>
    <t>Pensjonssats
(A/B/C)
← velg</t>
  </si>
  <si>
    <t>Årsverk
(seksj. 1)</t>
  </si>
  <si>
    <t>§19a GRUNNTILSKUDD - inkludert kommunal deflator</t>
  </si>
  <si>
    <t>§19c EIENDOM</t>
  </si>
  <si>
    <t>EKSTRA
GRUNNT.</t>
  </si>
  <si>
    <t>TILLEGGS-
TILSKUDD</t>
  </si>
  <si>
    <t>SUM HELÅR</t>
  </si>
  <si>
    <t>Sum §19a
grunntilskudd</t>
  </si>
  <si>
    <t>Årsverk fra siste år før tilskuddsåret</t>
  </si>
  <si>
    <t>Pensjonstilskudd</t>
  </si>
  <si>
    <t>Eiendoms-
tilskudd §19c
(barn×sats)</t>
  </si>
  <si>
    <t>Ekstra
grunntilsk.
(manuell)</t>
  </si>
  <si>
    <t>Tilleggs-
tilskudd
(manuell)</t>
  </si>
  <si>
    <t>Sum
helår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</si>
  <si>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</si>
  <si>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</si>
  <si>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</si>
  <si>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</si>
  <si>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</si>
  <si>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</si>
  <si>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</si>
  <si>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Ansvar</t>
  </si>
  <si>
    <t>Ansvar (T)</t>
  </si>
  <si>
    <t>Tjeneste</t>
  </si>
  <si>
    <t>Tjeneste (T)</t>
  </si>
  <si>
    <t>Konto</t>
  </si>
  <si>
    <t>Konto (T)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</si>
  <si>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</si>
  <si>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</si>
  <si>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</si>
  <si>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Begrunnelse for korreksjon</t>
  </si>
  <si>
    <t>1. Lønn</t>
  </si>
  <si>
    <t>9. Pensjon</t>
  </si>
  <si>
    <t>91. Arbeidsgiveravgift</t>
  </si>
  <si>
    <t>Barnehagemyndighet</t>
  </si>
  <si>
    <t xml:space="preserve">2. Varer og tjenester </t>
  </si>
  <si>
    <t>3. Mva</t>
  </si>
  <si>
    <t>5. Sykelønnsrefusjon</t>
  </si>
  <si>
    <t>6. Mva-kompensasjon</t>
  </si>
  <si>
    <t>Foreldrebetaling</t>
  </si>
  <si>
    <t>Tilskudd private</t>
  </si>
  <si>
    <t>Annet</t>
  </si>
  <si>
    <t>Feilføring</t>
  </si>
  <si>
    <t>Lærlinger</t>
  </si>
  <si>
    <t>Tap på krav</t>
  </si>
  <si>
    <t>*ved behov for flere egne grupperinger eller andre endringer- gjør endringer i arkfanen "metadata"</t>
  </si>
  <si>
    <t>Gruppering</t>
  </si>
  <si>
    <t>Kommentar</t>
  </si>
  <si>
    <t>Summeringstabeller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</si>
  <si>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</si>
  <si>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</si>
  <si>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</si>
  <si>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</si>
  <si>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</si>
  <si>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</si>
  <si>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</si>
  <si>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</si>
  <si>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A. Funksjon 201 – Administrasjon og drift</t>
  </si>
  <si>
    <t>Lønn (ekskl. pensjon)</t>
  </si>
  <si>
    <t>000-089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</si>
  <si>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</si>
  <si>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</si>
  <si>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</si>
  <si>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</si>
  <si>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</si>
  <si>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</si>
  <si>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</si>
  <si>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</si>
  <si>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</si>
  <si>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</si>
  <si>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</si>
  <si>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</si>
  <si>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</si>
  <si>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</si>
  <si>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refusjoner</t>
  </si>
  <si>
    <t>690</t>
  </si>
  <si>
    <t>SUM 201 eks pensjon</t>
  </si>
  <si>
    <t>B. Funksjon 221 – Barnehagelokaler</t>
  </si>
  <si>
    <t>1.lønn</t>
  </si>
  <si>
    <t>− Sykelønnsrefusjoner</t>
  </si>
  <si>
    <t>− Kapitaldel innleide</t>
  </si>
  <si>
    <t>190</t>
  </si>
  <si>
    <t>Manuell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</si>
  <si>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</si>
  <si>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</si>
  <si>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</si>
  <si>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</si>
  <si>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</si>
  <si>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</si>
  <si>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</si>
  <si>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</si>
  <si>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</si>
  <si>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</si>
  <si>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</si>
  <si>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E. Barnetall kommunale barnehager – direkte fra BASIL</t>
  </si>
  <si>
    <t>Vektet total (1.8×0-2 + 1×3-6)</t>
  </si>
  <si>
    <t>Andel 0-2 år</t>
  </si>
  <si>
    <t>Andel 3-6 år</t>
  </si>
  <si>
    <t>F. Foreldrebetaling og satsberegning</t>
  </si>
  <si>
    <t>Kostnadsandel 0-2 (etter deflator)</t>
  </si>
  <si>
    <t>Kostnadsandel 3-6 (etter deflator)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</si>
  <si>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</si>
  <si>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</si>
  <si>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</si>
  <si>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</si>
  <si>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</si>
  <si>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Ref. NAV</t>
  </si>
  <si>
    <t>− Andre ref.</t>
  </si>
  <si>
    <t>E. Barnetall kommunale barnehager – del av "andreledd"- hentes manuelt</t>
  </si>
  <si>
    <t>Per barn</t>
  </si>
  <si>
    <t>★  Korreksjon særskilt per heltidsplass – 0–2 år (kr)</t>
  </si>
  <si>
    <t>★  Korrektsjon særskilt per heltidsplass – 3–6 år (kr)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</si>
  <si>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</si>
  <si>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</si>
  <si>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</si>
  <si>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</si>
  <si>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</si>
  <si>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</si>
  <si>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</si>
  <si>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</si>
  <si>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</si>
  <si>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</si>
  <si>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</si>
  <si>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</si>
  <si>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</si>
  <si>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</si>
  <si>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</si>
  <si>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</si>
  <si>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</si>
  <si>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</si>
  <si>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</si>
  <si>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</si>
  <si>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</si>
  <si>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</si>
  <si>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</si>
  <si>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</si>
  <si>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</si>
  <si>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</si>
  <si>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</si>
  <si>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</si>
  <si>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</si>
  <si>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</si>
  <si>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</si>
  <si>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</si>
  <si>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</si>
  <si>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</si>
  <si>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</si>
  <si>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</si>
  <si>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</si>
  <si>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</si>
  <si>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</si>
  <si>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</si>
  <si>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</si>
  <si>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</si>
  <si>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</si>
  <si>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</si>
  <si>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</si>
  <si>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</si>
  <si>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</si>
  <si>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</si>
  <si>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</si>
  <si>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</si>
  <si>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</si>
  <si>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</si>
  <si>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</si>
  <si>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</si>
  <si>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</si>
  <si>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</si>
  <si>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</si>
  <si>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</si>
  <si>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</si>
  <si>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</si>
  <si>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</si>
  <si>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</si>
  <si>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</si>
  <si>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</si>
  <si>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</si>
  <si>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</si>
  <si>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</si>
  <si>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</si>
  <si>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</si>
  <si>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</si>
  <si>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</si>
  <si>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</si>
  <si>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</si>
  <si>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</si>
  <si>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</si>
  <si>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</si>
  <si>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</si>
  <si>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</si>
  <si>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</si>
  <si>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</si>
  <si>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</si>
  <si>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</si>
  <si>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</si>
  <si>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</si>
  <si>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</si>
  <si>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</si>
  <si>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</si>
  <si>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</si>
  <si>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</si>
  <si>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</si>
  <si>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</si>
  <si>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</si>
  <si>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</si>
  <si>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</si>
  <si>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</si>
  <si>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</si>
  <si>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</si>
  <si>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</si>
  <si>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</si>
  <si>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</si>
  <si>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</si>
  <si>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</si>
  <si>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</si>
  <si>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</si>
  <si>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</si>
  <si>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</si>
  <si>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</si>
  <si>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</si>
  <si>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</si>
  <si>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</si>
  <si>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</si>
  <si>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</si>
  <si>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</si>
  <si>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</si>
  <si>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</si>
  <si>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</si>
  <si>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</si>
  <si>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</si>
  <si>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</si>
  <si>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</si>
  <si>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</si>
  <si>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</si>
  <si>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</si>
  <si>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</si>
  <si>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</si>
  <si>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</si>
  <si>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</si>
  <si>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</si>
  <si>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</si>
  <si>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</si>
  <si>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</si>
  <si>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</si>
  <si>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</si>
  <si>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</si>
  <si>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</si>
  <si>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</si>
  <si>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</si>
  <si>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Fylke</t>
  </si>
  <si>
    <t>Sone</t>
  </si>
  <si>
    <t>https://www.skatteetaten.no/satser/arbeidsgiveravgift-soneinndeling/</t>
  </si>
  <si>
    <t>Risør</t>
  </si>
  <si>
    <t>Agder</t>
  </si>
  <si>
    <t>Grimstad</t>
  </si>
  <si>
    <t>Sortering</t>
  </si>
  <si>
    <t>Maksbetaling</t>
  </si>
  <si>
    <t>1.1.xx</t>
  </si>
  <si>
    <t>1.8.xx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</si>
  <si>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</si>
  <si>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</si>
  <si>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</si>
  <si>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</si>
  <si>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</si>
  <si>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</si>
  <si>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</si>
  <si>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</si>
  <si>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</si>
  <si>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</si>
  <si>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</si>
  <si>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</si>
  <si>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</si>
  <si>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</si>
  <si>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</si>
  <si>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</si>
  <si>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</si>
  <si>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</si>
  <si>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</si>
  <si>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</si>
  <si>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</si>
  <si>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</si>
  <si>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</si>
  <si>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</si>
  <si>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</si>
  <si>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</si>
  <si>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</si>
  <si>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</si>
  <si>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</si>
  <si>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</si>
  <si>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</si>
  <si>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</si>
  <si>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</si>
  <si>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</si>
  <si>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</si>
  <si>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</si>
  <si>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</si>
  <si>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</si>
  <si>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</si>
  <si>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</si>
  <si>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</si>
  <si>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</si>
  <si>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</si>
  <si>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</si>
  <si>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</si>
  <si>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</si>
  <si>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</si>
  <si>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</si>
  <si>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</si>
  <si>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</si>
  <si>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</si>
  <si>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</si>
  <si>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</si>
  <si>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</si>
  <si>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</si>
  <si>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</si>
  <si>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</si>
  <si>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</si>
  <si>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</si>
  <si>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</si>
  <si>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</si>
  <si>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</si>
  <si>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</si>
  <si>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</si>
  <si>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</si>
  <si>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</si>
  <si>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</si>
  <si>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</si>
  <si>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</si>
  <si>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</si>
  <si>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</si>
  <si>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</si>
  <si>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</si>
  <si>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</si>
  <si>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</si>
  <si>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</si>
  <si>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</si>
  <si>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</si>
  <si>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</si>
  <si>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</si>
  <si>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</si>
  <si>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</si>
  <si>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</si>
  <si>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</si>
  <si>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</si>
  <si>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</si>
  <si>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</si>
  <si>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</si>
  <si>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</si>
  <si>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</si>
  <si>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</si>
  <si>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</si>
  <si>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</si>
  <si>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</si>
  <si>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</si>
  <si>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</si>
  <si>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</si>
  <si>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</si>
  <si>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</si>
  <si>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</si>
  <si>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</si>
  <si>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</si>
  <si>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</si>
  <si>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</si>
  <si>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</si>
  <si>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</si>
  <si>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</si>
  <si>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</si>
  <si>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</si>
  <si>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</si>
  <si>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</si>
  <si>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</si>
  <si>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</si>
  <si>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</si>
  <si>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</si>
  <si>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</si>
  <si>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</si>
  <si>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</si>
  <si>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</si>
  <si>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</si>
  <si>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</si>
  <si>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</si>
  <si>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</si>
  <si>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</si>
  <si>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</si>
  <si>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</si>
  <si>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</si>
  <si>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</si>
  <si>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</si>
  <si>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</si>
  <si>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</si>
  <si>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</si>
  <si>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</si>
  <si>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</si>
  <si>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</si>
  <si>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</si>
  <si>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</si>
  <si>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</si>
  <si>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</si>
  <si>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</si>
  <si>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</si>
  <si>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</si>
  <si>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</si>
  <si>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</si>
  <si>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</si>
  <si>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</si>
  <si>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</si>
  <si>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</si>
  <si>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</si>
  <si>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</si>
  <si>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</si>
  <si>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</si>
  <si>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</si>
  <si>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</si>
  <si>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</si>
  <si>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</si>
  <si>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</si>
  <si>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</si>
  <si>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</si>
  <si>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</si>
  <si>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</si>
  <si>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</si>
  <si>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</si>
  <si>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</si>
  <si>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</si>
  <si>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</si>
  <si>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</si>
  <si>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</si>
  <si>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</si>
  <si>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</si>
  <si>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</si>
  <si>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</si>
  <si>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</si>
  <si>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</si>
  <si>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</si>
  <si>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</si>
  <si>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</si>
  <si>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</si>
  <si>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</si>
  <si>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</si>
  <si>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</si>
  <si>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</si>
  <si>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</si>
  <si>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</si>
  <si>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</si>
  <si>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</si>
  <si>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</si>
  <si>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</si>
  <si>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</si>
  <si>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</si>
  <si>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</si>
  <si>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</si>
  <si>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</si>
  <si>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</si>
  <si>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</si>
  <si>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</si>
  <si>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</si>
  <si>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</si>
  <si>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</si>
  <si>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</si>
  <si>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</si>
  <si>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</si>
  <si>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</si>
  <si>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</si>
  <si>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</si>
  <si>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</si>
  <si>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</si>
  <si>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</si>
  <si>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</si>
  <si>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</si>
  <si>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</si>
  <si>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</si>
  <si>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</si>
  <si>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</si>
  <si>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</si>
  <si>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</si>
  <si>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</si>
  <si>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</si>
  <si>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</si>
  <si>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</si>
  <si>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</si>
  <si>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</si>
  <si>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</si>
  <si>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</si>
  <si>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</si>
  <si>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</si>
  <si>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</si>
  <si>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</si>
  <si>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</si>
  <si>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</si>
  <si>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</si>
  <si>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</si>
  <si>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</si>
  <si>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</si>
  <si>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</si>
  <si>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</si>
  <si>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</si>
  <si>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</si>
  <si>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</si>
  <si>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</si>
  <si>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</si>
  <si>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</si>
  <si>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</si>
  <si>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</si>
  <si>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</si>
  <si>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</si>
  <si>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</si>
  <si>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</si>
  <si>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</si>
  <si>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</si>
  <si>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</si>
  <si>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</si>
  <si>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</si>
  <si>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</si>
  <si>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</si>
  <si>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</si>
  <si>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</si>
  <si>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</si>
  <si>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</si>
  <si>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</si>
  <si>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</si>
  <si>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</si>
  <si>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</si>
  <si>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</si>
  <si>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</si>
  <si>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</si>
  <si>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</si>
  <si>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</si>
  <si>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</si>
  <si>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</si>
  <si>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</si>
  <si>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</si>
  <si>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</si>
  <si>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</si>
  <si>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</si>
  <si>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</si>
  <si>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</si>
  <si>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</si>
  <si>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</si>
  <si>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</si>
  <si>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</si>
  <si>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</si>
  <si>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</si>
  <si>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</si>
  <si>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</si>
  <si>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</si>
  <si>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</si>
  <si>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</si>
  <si>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</si>
  <si>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</si>
  <si>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</si>
  <si>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</si>
  <si>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</si>
  <si>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</si>
  <si>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</si>
  <si>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</si>
  <si>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</si>
  <si>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</si>
  <si>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</si>
  <si>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</si>
  <si>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</si>
  <si>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</si>
  <si>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</si>
  <si>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</si>
  <si>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</si>
  <si>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</si>
  <si>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</si>
  <si>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</si>
  <si>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</si>
  <si>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</si>
  <si>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</si>
  <si>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</si>
  <si>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</si>
  <si>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</si>
  <si>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</si>
  <si>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</si>
  <si>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</si>
  <si>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</si>
  <si>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</si>
  <si>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</si>
  <si>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</si>
  <si>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</si>
  <si>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</si>
  <si>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</si>
  <si>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</si>
  <si>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</si>
  <si>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</si>
  <si>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</si>
  <si>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</si>
  <si>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</si>
  <si>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</si>
  <si>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</si>
  <si>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</si>
  <si>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</si>
  <si>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</si>
  <si>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</si>
  <si>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</si>
  <si>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</si>
  <si>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</si>
  <si>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</si>
  <si>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</si>
  <si>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</si>
  <si>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</si>
  <si>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</si>
  <si>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</si>
  <si>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</si>
  <si>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</si>
  <si>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</si>
  <si>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</si>
  <si>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</si>
  <si>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</si>
  <si>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</si>
  <si>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</si>
  <si>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</si>
  <si>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</si>
  <si>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</si>
  <si>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</si>
  <si>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</si>
  <si>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</si>
  <si>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</si>
  <si>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</si>
  <si>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</si>
  <si>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</si>
  <si>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</si>
  <si>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</si>
  <si>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</si>
  <si>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</si>
  <si>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</si>
  <si>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</si>
  <si>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</si>
  <si>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</si>
  <si>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</si>
  <si>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</si>
  <si>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</si>
  <si>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</si>
  <si>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</si>
  <si>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</si>
  <si>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</si>
  <si>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</si>
  <si>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</si>
  <si>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</si>
  <si>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</si>
  <si>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</si>
  <si>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</si>
  <si>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Dato</t>
  </si>
  <si>
    <t>Endring</t>
  </si>
  <si>
    <t>Barnehagetype</t>
  </si>
  <si>
    <t>Åpen barnehage</t>
  </si>
  <si>
    <t>Type barnehage</t>
  </si>
  <si>
    <t xml:space="preserve">Kommuner 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</si>
  <si>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</si>
  <si>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 xml:space="preserve">Pensjonssats per årsverk
§19b
</t>
  </si>
  <si>
    <t>EKSTRA
GRUNNT.2</t>
  </si>
  <si>
    <t>EKSTRA
GRUNNT.3</t>
  </si>
  <si>
    <t>EKSTRA
GRUNNT.4</t>
  </si>
  <si>
    <t xml:space="preserve">Kostnadsandel 0-2 </t>
  </si>
  <si>
    <t xml:space="preserve">Kostnadsandel 3-6 </t>
  </si>
  <si>
    <t>Prosjektnummer</t>
  </si>
  <si>
    <t>Lavere sats enn makspris må vedtas i forskrift jf. §20</t>
  </si>
  <si>
    <t>Beskrivelse - se veileder og forarbeider for mer detaljer</t>
  </si>
  <si>
    <t>Foreldrebetaling totalt 0-2</t>
  </si>
  <si>
    <t>Foreldrebetaling totalt 3-6</t>
  </si>
  <si>
    <t>Manuell korreksjon</t>
  </si>
  <si>
    <t>Manuell inntasting</t>
  </si>
  <si>
    <t>F. Korreksjoner til satsberegning</t>
  </si>
  <si>
    <t>Kun synlinggjøring</t>
  </si>
  <si>
    <t>Brukes i korreksjonsark 4X</t>
  </si>
  <si>
    <t>Brukes i selvkost (ark 4.)</t>
  </si>
  <si>
    <t>Kommunen må manuelt legge til og benevne her</t>
  </si>
  <si>
    <t>1A. Barnehagenavn:</t>
  </si>
  <si>
    <t>1A. Kommunenummer:</t>
  </si>
  <si>
    <t>1A. Kommunenavn:</t>
  </si>
  <si>
    <t>1C. Barnehagens eier:</t>
  </si>
  <si>
    <t>Kalkulert lønnsfelt</t>
  </si>
  <si>
    <t>Andre tilskudd og refusjoner</t>
  </si>
  <si>
    <t>− Andre tilskudd og refusjoner</t>
  </si>
  <si>
    <t>Kapitalkostnader, renter og avskrivning bygg</t>
  </si>
  <si>
    <t>Internt salg/matsalg</t>
  </si>
  <si>
    <t xml:space="preserve">Gule felter = fyll inn. Grønne = beregnes automatisk.  ·  Regelgrunnlag: Ny barnehagelov (lov 2025-06-20-100) og Forskrift https://lovdata.no/dokument/LTI/forskrift/2026-03-23-454 </t>
  </si>
  <si>
    <t>Heltidsplasser
0-2
(seksj. 1)</t>
  </si>
  <si>
    <t>Heltidsplasser
3-6</t>
  </si>
  <si>
    <t>Sats 3-6
(kr/heltidsplass)</t>
  </si>
  <si>
    <t>Sats 0-2
(kr/heltidsplass)</t>
  </si>
  <si>
    <t>Heltidsplasser 0-2 år (kommunale bhg)</t>
  </si>
  <si>
    <t>Heltidsplasser 3-6 år (kommunale bhg)</t>
  </si>
  <si>
    <t>Heltidsplasser
0-2</t>
  </si>
  <si>
    <t>▌ SEKSJON 2 – BUDSJETT- OG FORSKUDDSMODUL  §19a Grunntilskudd · §19b Pensjon · §19c Eiendom</t>
  </si>
  <si>
    <t>Prosjektbeskrivelse/objektnavn e.l.</t>
  </si>
  <si>
    <t>Prisjustering av driftsutgifter til år 1</t>
  </si>
  <si>
    <t>Prisjustering av driftsutgifter til år 2</t>
  </si>
  <si>
    <t>Hentes fra 0. Oppsett</t>
  </si>
  <si>
    <t>Hentes fra 0. Oppsett- se veilederen for behandling i høring og vedtak</t>
  </si>
  <si>
    <t>Prisjustering året etter regnskapsår (deflator)</t>
  </si>
  <si>
    <t>Prisjustering to år etter regnskapsår (deflator)</t>
  </si>
  <si>
    <t xml:space="preserve">Pensjonssats per årsverk §19b Inkl AGA </t>
  </si>
  <si>
    <t>Samlet gjennomsnittslønn per årsverk med pensjonsforpliktelse i barnehagen (kr)
← fra BASIL
regnskap-  deflatorjustert</t>
  </si>
  <si>
    <t>Høyeste år i rapporteringen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</si>
  <si>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</si>
  <si>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BASIL-årsmelding året før tilskuddsår</t>
  </si>
  <si>
    <t>Benyttes for utmåling av tilskudd til de private barnehagene</t>
  </si>
  <si>
    <t>Benyttes for beregning av veid snitt av barnetall i selvkost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</si>
  <si>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</si>
  <si>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</si>
  <si>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Mellom – høyere innskuddsordning, tariffbunden pensjon med tillegg</t>
  </si>
  <si>
    <t>Relevant for barnehager med innskuddsordninger med en høyere avtalt sparesats med tilleggsprodukter og AFP.</t>
  </si>
  <si>
    <t>Høyeste – ytelsespensjon, hybrid, AFP og tilleggsprodukter. Representerer «bransjestandard».</t>
  </si>
  <si>
    <t>Flertallet av barnehagene forventes å innplasseres her. Inkluderer barnehager med AFP.</t>
  </si>
  <si>
    <t>BASIL-årsmelding N-2, vektes 5/12 og N-3, vektes 7/12 i selvkost</t>
  </si>
  <si>
    <t>7. Matpenger (innbetalte kostpenger)</t>
  </si>
  <si>
    <t>ØKONOMIRAPPORT – Funksjon 221  ▸  Lim inn fra regnskap. Sett Gruppering i kolonne H.</t>
  </si>
  <si>
    <t>Barn
(heltidsplasser)</t>
  </si>
  <si>
    <t>Historiske forpliktelser?</t>
  </si>
  <si>
    <t>Årstall resultatregnskap</t>
  </si>
  <si>
    <t>NB: noen kommuner har flere soner (gjeldende sats der barnehagen ligger)</t>
  </si>
  <si>
    <t>Pensjonssats %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</si>
  <si>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</si>
  <si>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</si>
  <si>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 xml:space="preserve">Endelig anslag kommer i statsbudsjettet (oktober), bruk f.eks. anslag fra KS frem til det. </t>
  </si>
  <si>
    <t>Henter nyeste årstall fra resultatregnskap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</si>
  <si>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</si>
  <si>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Tilskuddsår - År N</t>
  </si>
  <si>
    <t>År N-3</t>
  </si>
  <si>
    <t>År N-2</t>
  </si>
  <si>
    <t>År N-1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</si>
  <si>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</si>
  <si>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Matpenger per heltidsplass</t>
  </si>
  <si>
    <t>Nasjonal sats. Hentes fra forskriften §13</t>
  </si>
  <si>
    <t>https://lovdata.no/forskrift/2026-03-23-454/§13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</si>
  <si>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</si>
  <si>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Ikke gruppert</t>
  </si>
  <si>
    <t>Korreksjoner</t>
  </si>
  <si>
    <t>Sum korrigert med (både positive og negativt)</t>
  </si>
  <si>
    <t>Årsverk fra årsmelding to år før tilskuddsåret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</si>
  <si>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</si>
  <si>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C</t>
  </si>
  <si>
    <t>B</t>
  </si>
  <si>
    <t>A</t>
  </si>
  <si>
    <t>0</t>
  </si>
  <si>
    <t/>
  </si>
  <si>
    <t>Kommune</t>
  </si>
  <si>
    <t>Vektes 5/12 i selvkost. Året før vektes 7/12.</t>
  </si>
  <si>
    <t>Kostpenger (regnskapsført og deflatert)</t>
  </si>
  <si>
    <t>Gruppering 201*</t>
  </si>
  <si>
    <t>Gruppering 211*</t>
  </si>
  <si>
    <t>BASIL-RÅDATA  ▸  Lim inn bearbeidet data fra mal for bearbeiding NB: Lim inn som tall</t>
  </si>
  <si>
    <t>BASIL-RÅDATA  ▸  Lim inn bearbeidet data fra mal for bearbeiding NB! Lim inn som tall</t>
  </si>
  <si>
    <t>2300</t>
  </si>
  <si>
    <t>Barnehager felles</t>
  </si>
  <si>
    <t>Førskole/barnehage</t>
  </si>
  <si>
    <t>10100</t>
  </si>
  <si>
    <t>Fastlønn</t>
  </si>
  <si>
    <t>2315</t>
  </si>
  <si>
    <t>Karihola barnehage</t>
  </si>
  <si>
    <t>2320</t>
  </si>
  <si>
    <t>Heinsa barnehage</t>
  </si>
  <si>
    <t>2330</t>
  </si>
  <si>
    <t>Dale barnehage</t>
  </si>
  <si>
    <t>2355</t>
  </si>
  <si>
    <t>Rensvik barnehage</t>
  </si>
  <si>
    <t>2360</t>
  </si>
  <si>
    <t>Nordlandet barnehage</t>
  </si>
  <si>
    <t>10201</t>
  </si>
  <si>
    <t>Sykevikar</t>
  </si>
  <si>
    <t>3661</t>
  </si>
  <si>
    <t>Bekkefaret 14</t>
  </si>
  <si>
    <t>10202</t>
  </si>
  <si>
    <t>Ferievikar</t>
  </si>
  <si>
    <t>10203</t>
  </si>
  <si>
    <t>Andre vikarer</t>
  </si>
  <si>
    <t>10209</t>
  </si>
  <si>
    <t>Anordning variabel lønn</t>
  </si>
  <si>
    <t>10301</t>
  </si>
  <si>
    <t>Diverse lønnsgodtgjørelser</t>
  </si>
  <si>
    <t>10302</t>
  </si>
  <si>
    <t>Ekstrahjelp</t>
  </si>
  <si>
    <t>10400</t>
  </si>
  <si>
    <t>Overtidslønn</t>
  </si>
  <si>
    <t>10505</t>
  </si>
  <si>
    <t>10508</t>
  </si>
  <si>
    <t>Fast bilgodtgjørelse og fri telefon</t>
  </si>
  <si>
    <t>10509</t>
  </si>
  <si>
    <t>Annen trekkpliktig godtgjørelse</t>
  </si>
  <si>
    <t>6415</t>
  </si>
  <si>
    <t>Renhold</t>
  </si>
  <si>
    <t>10756</t>
  </si>
  <si>
    <t>Andre vikarer renholdsarbeidere</t>
  </si>
  <si>
    <t>10800</t>
  </si>
  <si>
    <t>Møtegodtgjørelse</t>
  </si>
  <si>
    <t>10900</t>
  </si>
  <si>
    <t>Pensjonsinnskudd og trekkktige forsikringsordninger KLP (fra 01.06.2022)</t>
  </si>
  <si>
    <t>1900</t>
  </si>
  <si>
    <t>Felles avsetninger</t>
  </si>
  <si>
    <t>10901</t>
  </si>
  <si>
    <t>Ikke avgiftspliktig pensjon</t>
  </si>
  <si>
    <t>10902</t>
  </si>
  <si>
    <t>Gruppelivsforsikring</t>
  </si>
  <si>
    <t>10905</t>
  </si>
  <si>
    <t>Fordelt bruk av premiefond på tjenester</t>
  </si>
  <si>
    <t>10990</t>
  </si>
  <si>
    <t>10995</t>
  </si>
  <si>
    <t>Arbeidsgiveravgift av fordelt bruk av premiefond på tjenester</t>
  </si>
  <si>
    <t>11000</t>
  </si>
  <si>
    <t>Kontormateriell</t>
  </si>
  <si>
    <t>11050</t>
  </si>
  <si>
    <t>Lærebøker</t>
  </si>
  <si>
    <t>11053</t>
  </si>
  <si>
    <t>Lekemateriell</t>
  </si>
  <si>
    <t>11054</t>
  </si>
  <si>
    <t>Kunst og håndverk</t>
  </si>
  <si>
    <t>11100</t>
  </si>
  <si>
    <t>Medisinsk forbruksmateriell</t>
  </si>
  <si>
    <t>11150</t>
  </si>
  <si>
    <t>Matvarer</t>
  </si>
  <si>
    <t>11151</t>
  </si>
  <si>
    <t>Bevertning (ved møter o.l.)</t>
  </si>
  <si>
    <t>11155</t>
  </si>
  <si>
    <t>Pant o.l. ikke MVA</t>
  </si>
  <si>
    <t>11200</t>
  </si>
  <si>
    <t>Samlepost annet forbruksmateriell, råvarer og tjenester</t>
  </si>
  <si>
    <t>11201</t>
  </si>
  <si>
    <t>Velferdstiltak/gaver til ansatte og andre</t>
  </si>
  <si>
    <t>11205</t>
  </si>
  <si>
    <t>Klær og tekstiler</t>
  </si>
  <si>
    <t>11300</t>
  </si>
  <si>
    <t>Post, banktjenester, telefon, internett/bredbånd</t>
  </si>
  <si>
    <t>2345</t>
  </si>
  <si>
    <t>Røsslyngveien barnehage</t>
  </si>
  <si>
    <t>2180</t>
  </si>
  <si>
    <t>Nordlandet ungdomsskole</t>
  </si>
  <si>
    <t>11302</t>
  </si>
  <si>
    <t>Porto, frakt, bankgebyr</t>
  </si>
  <si>
    <t>11500</t>
  </si>
  <si>
    <t>Opplæring, kurs, konferanse</t>
  </si>
  <si>
    <t>11600</t>
  </si>
  <si>
    <t>Bilgodtgjørelse</t>
  </si>
  <si>
    <t>11652</t>
  </si>
  <si>
    <t>Utlegg ved bruk privat mobil</t>
  </si>
  <si>
    <t>11654</t>
  </si>
  <si>
    <t>Klesgodtgjørelse</t>
  </si>
  <si>
    <t>11700</t>
  </si>
  <si>
    <t>Flybilletter, taxi etc.</t>
  </si>
  <si>
    <t>2370</t>
  </si>
  <si>
    <t>Opplæringstjenesten</t>
  </si>
  <si>
    <t>11701</t>
  </si>
  <si>
    <t>Skyss inkl. klienttransport</t>
  </si>
  <si>
    <t>11707</t>
  </si>
  <si>
    <t>Utgifter iflg bilag - lønnssystemet</t>
  </si>
  <si>
    <t>11800</t>
  </si>
  <si>
    <t>Strøm</t>
  </si>
  <si>
    <t>11950</t>
  </si>
  <si>
    <t>Avgifter, gebyrer, lisenser o.l.</t>
  </si>
  <si>
    <t>11951</t>
  </si>
  <si>
    <t>Vann/avløp-avg. inkl. mva kommunale bygg</t>
  </si>
  <si>
    <t>11955</t>
  </si>
  <si>
    <t>Forsinkelsesrenter og gebyr</t>
  </si>
  <si>
    <t>12000</t>
  </si>
  <si>
    <t>Kjøp og finansiell leasing av driftsmidler</t>
  </si>
  <si>
    <t>12090</t>
  </si>
  <si>
    <t>Medisinsk utstyr</t>
  </si>
  <si>
    <t>12200</t>
  </si>
  <si>
    <t>Leie av driftsmidler</t>
  </si>
  <si>
    <t>12400</t>
  </si>
  <si>
    <t>Serviceavtaler, reparasjoner og vaktmestertjenester</t>
  </si>
  <si>
    <t>12500</t>
  </si>
  <si>
    <t>Materiell til vedlikehold, påkostning og nybygg</t>
  </si>
  <si>
    <t>6027</t>
  </si>
  <si>
    <t>Utenomhus</t>
  </si>
  <si>
    <t>12700</t>
  </si>
  <si>
    <t>Andre tjenester (som inngår i egenproduksjon)</t>
  </si>
  <si>
    <t>12703</t>
  </si>
  <si>
    <t>Tolketjenester</t>
  </si>
  <si>
    <t>3400</t>
  </si>
  <si>
    <t>NAV</t>
  </si>
  <si>
    <t>13500</t>
  </si>
  <si>
    <t>Kjøp fra kommuner</t>
  </si>
  <si>
    <t>13700</t>
  </si>
  <si>
    <t>Kjøp fra andre (private)</t>
  </si>
  <si>
    <t>2390</t>
  </si>
  <si>
    <t>Ikke-kommunale barnehager</t>
  </si>
  <si>
    <t>13701</t>
  </si>
  <si>
    <t>Statstilskudd til private barnehager</t>
  </si>
  <si>
    <t>14290</t>
  </si>
  <si>
    <t>Merverdiavgift som gir rett til momskompensasjon</t>
  </si>
  <si>
    <t>14702</t>
  </si>
  <si>
    <t>Tap på fordringer</t>
  </si>
  <si>
    <t>15500</t>
  </si>
  <si>
    <t>Avsetninger til bundne fond</t>
  </si>
  <si>
    <t>15900</t>
  </si>
  <si>
    <t>Avskrivninger</t>
  </si>
  <si>
    <t>16000</t>
  </si>
  <si>
    <t>Brukerbetaling for kommunale tjenester</t>
  </si>
  <si>
    <t>16200</t>
  </si>
  <si>
    <t>Annet salg av varer og tjenester, gebyrer o.l. utenfor avgiftsområdet</t>
  </si>
  <si>
    <t>17000</t>
  </si>
  <si>
    <t>Refusjon fra staten</t>
  </si>
  <si>
    <t>17002</t>
  </si>
  <si>
    <t>Ref. NAV (ikke ref. sykelønn)</t>
  </si>
  <si>
    <t>17100</t>
  </si>
  <si>
    <t>Sykelønnsrefusjon</t>
  </si>
  <si>
    <t>17101</t>
  </si>
  <si>
    <t>Ref. svangerskap adopsjon</t>
  </si>
  <si>
    <t>17290</t>
  </si>
  <si>
    <t>Kompensasjon moms påløpt i driftsregnskapet</t>
  </si>
  <si>
    <t>17300</t>
  </si>
  <si>
    <t>Refusjon fra fylkeskommuner</t>
  </si>
  <si>
    <t>2150</t>
  </si>
  <si>
    <t>Innlandet skole</t>
  </si>
  <si>
    <t>17500</t>
  </si>
  <si>
    <t>Refusjon fra kommuner</t>
  </si>
  <si>
    <t>17700</t>
  </si>
  <si>
    <t>Refusjon fra andre (private)</t>
  </si>
  <si>
    <t>2115</t>
  </si>
  <si>
    <t>Bjerkelund skole</t>
  </si>
  <si>
    <t>19500</t>
  </si>
  <si>
    <t>Bruk av bundne driftsfond</t>
  </si>
  <si>
    <t>1505</t>
  </si>
  <si>
    <t>15</t>
  </si>
  <si>
    <t>Gårdsbarnehage AS</t>
  </si>
  <si>
    <t>888544372</t>
  </si>
  <si>
    <t>2005</t>
  </si>
  <si>
    <t>Privat</t>
  </si>
  <si>
    <t>Vassbakken barnehage SA</t>
  </si>
  <si>
    <t>972339563</t>
  </si>
  <si>
    <t>1991</t>
  </si>
  <si>
    <t>Læringsverkstedet Kristiansund idrettsbarnehage</t>
  </si>
  <si>
    <t>990749914</t>
  </si>
  <si>
    <t>2007</t>
  </si>
  <si>
    <t>Læringsverkstedet Atlantis naturbarnehage</t>
  </si>
  <si>
    <t>980902463</t>
  </si>
  <si>
    <t>2006</t>
  </si>
  <si>
    <t>Læringsverkstedet Blåtoppen barnehage</t>
  </si>
  <si>
    <t>974746964</t>
  </si>
  <si>
    <t>2009</t>
  </si>
  <si>
    <t>Læringsverkstedet Draget barnehage</t>
  </si>
  <si>
    <t>994549448</t>
  </si>
  <si>
    <t>975310140</t>
  </si>
  <si>
    <t>1987</t>
  </si>
  <si>
    <t>921849710</t>
  </si>
  <si>
    <t>2019</t>
  </si>
  <si>
    <t>975310760</t>
  </si>
  <si>
    <t>Abc Bakken barnehage</t>
  </si>
  <si>
    <t>972339113</t>
  </si>
  <si>
    <t>Storbakken barnehage</t>
  </si>
  <si>
    <t>984770154</t>
  </si>
  <si>
    <t>2003</t>
  </si>
  <si>
    <t>975310159</t>
  </si>
  <si>
    <t>1973</t>
  </si>
  <si>
    <t>975310175</t>
  </si>
  <si>
    <t>2018</t>
  </si>
  <si>
    <t>Veslefrikk barnehage SA</t>
  </si>
  <si>
    <t>972285552</t>
  </si>
  <si>
    <t>Førskolelokaler/barnehager</t>
  </si>
  <si>
    <t>6419</t>
  </si>
  <si>
    <t>Formålsbygg</t>
  </si>
  <si>
    <t>10750</t>
  </si>
  <si>
    <t>Lønn renhold</t>
  </si>
  <si>
    <t>10751</t>
  </si>
  <si>
    <t>Fordeling lønn renhold</t>
  </si>
  <si>
    <t>10752</t>
  </si>
  <si>
    <t>Sykevikarer renholdsarbeidere</t>
  </si>
  <si>
    <t>10753</t>
  </si>
  <si>
    <t>Ferievikarer renholdsarbeidere</t>
  </si>
  <si>
    <t>10754</t>
  </si>
  <si>
    <t>Ekstrahjelp renholdsarbeidere</t>
  </si>
  <si>
    <t>11204</t>
  </si>
  <si>
    <t>Arbeidsmateriell</t>
  </si>
  <si>
    <t>11207</t>
  </si>
  <si>
    <t>Renholdsmateriell</t>
  </si>
  <si>
    <t>11850</t>
  </si>
  <si>
    <t>Forsikringer og utgifter til vakthold og sikring</t>
  </si>
  <si>
    <t>11952</t>
  </si>
  <si>
    <t>Renovasjonsavgift inkl. mva kommunale bygg</t>
  </si>
  <si>
    <t>12300</t>
  </si>
  <si>
    <t>Vedlikehold, byggtjenester og nybygg</t>
  </si>
  <si>
    <t>12301</t>
  </si>
  <si>
    <t>Fordelte utgifter eget personell</t>
  </si>
  <si>
    <t>12302</t>
  </si>
  <si>
    <t>Fordelte utgifter maskin/bil</t>
  </si>
  <si>
    <t>12303</t>
  </si>
  <si>
    <t>Fordelte utgifter verksted</t>
  </si>
  <si>
    <t>6418</t>
  </si>
  <si>
    <t>Kulturbygg</t>
  </si>
  <si>
    <t>12401</t>
  </si>
  <si>
    <t>Rammeavtaler</t>
  </si>
  <si>
    <t>16301</t>
  </si>
  <si>
    <t>Andre leieinntekter</t>
  </si>
  <si>
    <t>Alle barnehager 2025</t>
  </si>
  <si>
    <t>Oppholdstid</t>
  </si>
  <si>
    <t>Alder</t>
  </si>
  <si>
    <t>Fødselsår</t>
  </si>
  <si>
    <t>1. januar</t>
  </si>
  <si>
    <t>1. februar</t>
  </si>
  <si>
    <t>1. mars</t>
  </si>
  <si>
    <t>1. april</t>
  </si>
  <si>
    <t>1. mai</t>
  </si>
  <si>
    <t>1. juni</t>
  </si>
  <si>
    <t>15. desember</t>
  </si>
  <si>
    <t>0-32 timer</t>
  </si>
  <si>
    <t>33-40 timer</t>
  </si>
  <si>
    <t>41 timer eller mer</t>
  </si>
  <si>
    <t>SUM</t>
  </si>
  <si>
    <t>Små barn:</t>
  </si>
  <si>
    <t>Andel full plass</t>
  </si>
  <si>
    <t>Totalt vektet</t>
  </si>
  <si>
    <t>17-24 timer</t>
  </si>
  <si>
    <t>Store barn:</t>
  </si>
  <si>
    <t>Sum små barn</t>
  </si>
  <si>
    <t>Sum store barn</t>
  </si>
  <si>
    <t>Totalt antall barn</t>
  </si>
  <si>
    <t>Heltidsbarn 0-2 år</t>
  </si>
  <si>
    <t>Heltidsbarn 3-6 år</t>
  </si>
  <si>
    <t>Heltidsbarn</t>
  </si>
  <si>
    <t>Oversikt eiendom Kristiansund kommune 2025</t>
  </si>
  <si>
    <t>NAVN</t>
  </si>
  <si>
    <t>ADRESSE</t>
  </si>
  <si>
    <t>VIRKSOMHET</t>
  </si>
  <si>
    <t>TYPE</t>
  </si>
  <si>
    <t>GNR</t>
  </si>
  <si>
    <t>BNR</t>
  </si>
  <si>
    <t xml:space="preserve">FULLVERDI 2025 </t>
  </si>
  <si>
    <t>AREAL</t>
  </si>
  <si>
    <t>ANSVAR</t>
  </si>
  <si>
    <t>TJENESTE</t>
  </si>
  <si>
    <t>ART</t>
  </si>
  <si>
    <t>OBJEKT</t>
  </si>
  <si>
    <t>PREMIE 2025</t>
  </si>
  <si>
    <t>Dalelia 2</t>
  </si>
  <si>
    <t>Eiendomsdrift</t>
  </si>
  <si>
    <t>Barnehage</t>
  </si>
  <si>
    <t xml:space="preserve">            21 923 382 </t>
  </si>
  <si>
    <t>Dale barnehage - nybygg 2013</t>
  </si>
  <si>
    <t xml:space="preserve">            19 608 696 </t>
  </si>
  <si>
    <t>Wessels Gate 35</t>
  </si>
  <si>
    <t xml:space="preserve">              7 473 129 </t>
  </si>
  <si>
    <t>Tareveien 2</t>
  </si>
  <si>
    <t xml:space="preserve">           79 889 728 </t>
  </si>
  <si>
    <t>Råket 1A</t>
  </si>
  <si>
    <t xml:space="preserve">            67 456 559 </t>
  </si>
  <si>
    <t>Skoleveien 30</t>
  </si>
  <si>
    <t xml:space="preserve">            22 220 984 </t>
  </si>
  <si>
    <t>Rensvik barnehage avd. Stubben</t>
  </si>
  <si>
    <t>Rensvikstubben 6</t>
  </si>
  <si>
    <t xml:space="preserve">            17 492 412 </t>
  </si>
  <si>
    <t>Sum</t>
  </si>
  <si>
    <t xml:space="preserve"> </t>
  </si>
  <si>
    <t>Per.</t>
  </si>
  <si>
    <t>Bilag</t>
  </si>
  <si>
    <t>Tekst</t>
  </si>
  <si>
    <t>Prosjekt</t>
  </si>
  <si>
    <t>Beløp</t>
  </si>
  <si>
    <t>Fra Dronning Mauds Minne</t>
  </si>
  <si>
    <t>Dronning Mauds Minne, Heinsa bhg</t>
  </si>
  <si>
    <t>Dronning Mauds Minne, Dale bhg</t>
  </si>
  <si>
    <t>Utdanningsdirekt tiltak for å styrke språkutvikl</t>
  </si>
  <si>
    <t>Dronning Mauds Minne Nordland.bhg</t>
  </si>
  <si>
    <t>Styrking ekstra  bemanning.</t>
  </si>
  <si>
    <t>Dronning Mauds Minne Høyskole, Dale bhg</t>
  </si>
  <si>
    <t>Tilretteleggingsmider viderutdanning.</t>
  </si>
  <si>
    <t>Dronning Mauds Minne, Nordlandet bhg</t>
  </si>
  <si>
    <t>Utdanningsdir. Tilretteleggingsmidler bhg</t>
  </si>
  <si>
    <t>Tilretteleggingsmidler våren 2025- Draget bhg</t>
  </si>
  <si>
    <t>Tilretteleggingsmidler våren 2025- Kr-sund Idrettsbhg- Draget bhg</t>
  </si>
  <si>
    <t>Tilretteleggingsmidler våren 2025- Blåtoppen bhg</t>
  </si>
  <si>
    <t>Utdanningsdir. Språkutviklingen</t>
  </si>
  <si>
    <t>Refusjon reiseutgifter, Erasmus. Bergen 24.-25.09.24</t>
  </si>
  <si>
    <t>Overføring av ICDP midler høst 25/vår 26-Storbakken bhg</t>
  </si>
  <si>
    <t>Utdanningsdir.Tilskudd 159481</t>
  </si>
  <si>
    <t>Tilskudd til toppet bemanning i barnehage.</t>
  </si>
  <si>
    <t>Utdanningsdir.161273</t>
  </si>
  <si>
    <t>Tilskudd til toppbemanning.</t>
  </si>
  <si>
    <t>Dronning mauds minne høgskole</t>
  </si>
  <si>
    <t>Korr. tilb.f. bilag 22027</t>
  </si>
  <si>
    <t>ABC-BAKKEN BHG: Tilskudd til toppet bemanning</t>
  </si>
  <si>
    <t>GÅRDSBARNEHAGEN: Tilskudd til toppet bemanning</t>
  </si>
  <si>
    <t>ATLANTIS BHG: Tilskudd til toppet bemanning</t>
  </si>
  <si>
    <t>BLÅTOPPEN BHG: Tilskudd til toppet bemanning</t>
  </si>
  <si>
    <t>DRAGET BHG: Tilskudd til toppet bemanning</t>
  </si>
  <si>
    <t>IDRETTSBARNEHAGEN: Tilskudd til toppet bemanning</t>
  </si>
  <si>
    <t>STORBAKKEN BHG: Tilskudd til toppet bemanning</t>
  </si>
  <si>
    <t>VASSBAKKEN BHG: Tilskudd til toppet bemanning</t>
  </si>
  <si>
    <t>VESLEFRIKK BHG: Tilskudd til toppet bemanning</t>
  </si>
  <si>
    <t>Ompostering feilføring bilag 22027.</t>
  </si>
  <si>
    <t>Tilskudd til toppet bemanning i barnehage</t>
  </si>
  <si>
    <t>Minoritetsspråklig veileder.</t>
  </si>
  <si>
    <t>ICDP 2 stk. sertifisering.</t>
  </si>
  <si>
    <t>ICDP Sertifisering.</t>
  </si>
  <si>
    <t>Prosjektføring bilag 22251.</t>
  </si>
  <si>
    <t>Korr. tilb.f. bilag 22251</t>
  </si>
  <si>
    <t>Øremerkede midler toppet bemanning tbf. brukes i 2026.</t>
  </si>
  <si>
    <t>Korr. tilb.f. bilag 22146</t>
  </si>
  <si>
    <t>Ompostering prosjektnr. 12091.</t>
  </si>
  <si>
    <t>Utbetaling til Storbakken bhg..</t>
  </si>
  <si>
    <t>Viderutdanning tilretteleggingsmidler.</t>
  </si>
  <si>
    <t>Erasmus akkreditering del 2.</t>
  </si>
  <si>
    <t>Barn i ikke-kommunale barnehage</t>
  </si>
  <si>
    <t>Rekomp-midler</t>
  </si>
  <si>
    <t>Dekomp-midler</t>
  </si>
  <si>
    <t>Erasmus+ akkreditering del 2.</t>
  </si>
  <si>
    <t>Erasmus+ akkreditering del 3.</t>
  </si>
  <si>
    <t>Helt med stilling.</t>
  </si>
  <si>
    <t>Ompostering til kun tjeneste 2020</t>
  </si>
  <si>
    <t>Refusjonskrav</t>
  </si>
  <si>
    <t>Refusjon</t>
  </si>
  <si>
    <t>PPT</t>
  </si>
  <si>
    <t>Nettverk Nordmøre, trekkes ut</t>
  </si>
  <si>
    <t>Gjelder 2110</t>
  </si>
  <si>
    <t>Feilføring, 2100</t>
  </si>
  <si>
    <t>Tilb.føring b. 22027</t>
  </si>
  <si>
    <t>Ny og riktig føring</t>
  </si>
  <si>
    <t>Tilb.føring b. 22062, brukes 2026, trekkes ut da</t>
  </si>
  <si>
    <t>Feilføring og korrigering</t>
  </si>
  <si>
    <t>Mva</t>
  </si>
  <si>
    <t>Valutabeløp</t>
  </si>
  <si>
    <t>Fra lønn, Periode 101</t>
  </si>
  <si>
    <t>@Fra lønn, Periode 101</t>
  </si>
  <si>
    <t>hotell Belgia  (skal ikke inngå i tilskuddsberegning priv. bhg)</t>
  </si>
  <si>
    <t>SCANIDNAVIAN AIRLINES SYSTEM</t>
  </si>
  <si>
    <t>SEB KORT BANK AB, OSLOFILIALEN</t>
  </si>
  <si>
    <t>CAMPUS KRISTIANSUND DRIFT AS</t>
  </si>
  <si>
    <t>Fra lønn, Periode 401</t>
  </si>
  <si>
    <t>@Fra lønn, Periode 401</t>
  </si>
  <si>
    <t>tur Pamplona</t>
  </si>
  <si>
    <t>Denne må du kontere Elin Mari. Kjenenr ikke til konto her</t>
  </si>
  <si>
    <t>VARDE AS</t>
  </si>
  <si>
    <t>300006 - korr. Mva.komp 3. termin</t>
  </si>
  <si>
    <t>@300006 - korr. Mva.komp 3. termin</t>
  </si>
  <si>
    <t>Fra lønn, Periode 601</t>
  </si>
  <si>
    <t>@Fra lønn, Periode 601</t>
  </si>
  <si>
    <t>Fra lønn, Periode 701</t>
  </si>
  <si>
    <t>@Fra lønn, Periode 701</t>
  </si>
  <si>
    <t>Fra lønn, Periode 701 (A)</t>
  </si>
  <si>
    <t>300007 - korr. Mva.komp. 4. termin</t>
  </si>
  <si>
    <t>@300007 - korr. Mva.komp. 4. termin</t>
  </si>
  <si>
    <t>SAS 251022594423</t>
  </si>
  <si>
    <t>300013 - korr. Mva.komp. 5. termin</t>
  </si>
  <si>
    <t>@300013 - korr. Mva.komp. 5. termin</t>
  </si>
  <si>
    <t>Fra lønn, Periode 1001</t>
  </si>
  <si>
    <t>Ompostering lønn C. Syltebø til prosjekt 11221.</t>
  </si>
  <si>
    <t>Tilbakeført beløp fra 2024, jfr bilag 300024 i 2024</t>
  </si>
  <si>
    <t>Omposteres til prosjekt 11221.</t>
  </si>
  <si>
    <t>Brukt av fond 251080265  prosjekt 11221.</t>
  </si>
  <si>
    <t>10.2025: Reise ifb med Erasmus +</t>
  </si>
  <si>
    <t>Flybilletter og Hotell for Erasmus+ reise til Belgia uke 49</t>
  </si>
  <si>
    <t>EU-midler til Erasmus+ 2025, mottatt 20.06.2025</t>
  </si>
  <si>
    <t>Fra lønn, Periode 1101</t>
  </si>
  <si>
    <t>@Fra lønn, Periode 1101</t>
  </si>
  <si>
    <t>300015 - korr. Mva.komp. 6. termin</t>
  </si>
  <si>
    <t>300016 - korr. Mva.komp. 6. termin</t>
  </si>
  <si>
    <t>@300015 - korr. Mva.komp. 6. termin</t>
  </si>
  <si>
    <t>@300016 - korr. Mva.komp. 6. termin</t>
  </si>
  <si>
    <t>Fra lønn, Periode 1201</t>
  </si>
  <si>
    <t>@Fra lønn, Periode 1201</t>
  </si>
  <si>
    <t>Periodisering Konto 11707</t>
  </si>
  <si>
    <t>Korr. tilb.f. bilag 300029</t>
  </si>
  <si>
    <t>- Erasmus</t>
  </si>
  <si>
    <t>Gjelder skole</t>
  </si>
  <si>
    <t>barn i priv.bhg fra andre kommuner</t>
  </si>
  <si>
    <t>Se kommentarer fane "17000"</t>
  </si>
  <si>
    <t>Se  fane "Forsikringer"</t>
  </si>
  <si>
    <t>Se kommentarer fane "17500"</t>
  </si>
  <si>
    <t>Se kommentarer fane "Erasmus"</t>
  </si>
  <si>
    <t>Korrigering foretatt direkte i fanen Selvkost og satser</t>
  </si>
  <si>
    <t>Se fanen Selvkost og satser</t>
  </si>
  <si>
    <t>− Dronning Maud, øvingslærere</t>
  </si>
  <si>
    <t>− Toppet bemanning</t>
  </si>
  <si>
    <t>− Tilretteleggingsmidler videreutdanning</t>
  </si>
  <si>
    <t>− Nettverk Nordmøre</t>
  </si>
  <si>
    <t>− Helt med (varig tilrettelagt arbeid)</t>
  </si>
  <si>
    <t>AVE/NAV varigtilrettelagt arbeid, tilsagn 2023/332778-5.</t>
  </si>
  <si>
    <t>AVE/NAV, midl.tidig lønnstilskudd, tilsagn 170300-8</t>
  </si>
  <si>
    <t>AVE/NAV Midl.lønnstilskudd tilsagn 170300-7</t>
  </si>
  <si>
    <t>AVE/NAV Midl.lønnstilskudd tilsagn 170300-6</t>
  </si>
  <si>
    <t>AVE/NAV -varig tilrettelagt arbeid tilsagns.2023/332778-6</t>
  </si>
  <si>
    <t>AVE/NAV VTAO tilsagnr.223403-23</t>
  </si>
  <si>
    <t>AVE/NAV VTAO tilsagnr.223403-22</t>
  </si>
  <si>
    <t>AVE/NAV VTAO tilsagnsnr.223403-24</t>
  </si>
  <si>
    <t>AVE/NAV, VTAO tilsagnsnr 223403-25</t>
  </si>
  <si>
    <t>AVE/NAV VTAO tilsagnrsnr 223403-26</t>
  </si>
  <si>
    <t>Se kommentarer fane "17002 og 17500"</t>
  </si>
  <si>
    <t>Varig tilrettelagt arbeid</t>
  </si>
  <si>
    <t>- Arb.giv.avg. lærlinger</t>
  </si>
  <si>
    <t>Egne tellinger</t>
  </si>
  <si>
    <t>oppvekstnettverk Nordmøre (fra Surnadal)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</si>
</sst>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  <numFmt numFmtId="170" formatCode="#,##0.00_ ;[Red]\-#,##0.00\ "/>
    <numFmt numFmtId="171" formatCode="_(* #,##0.0_);_(* \(#,##0.0\);_(* &quot;-&quot;??_);_(@_)"/>
    <numFmt numFmtId="172" formatCode="#,##0_ ;[Red]\-#,##0\ "/>
  </numFmts>
  <fonts count="81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0"/>
      <color rgb="FFFFFFFF"/>
      <name val="Calibri"/>
      <family val="2"/>
    </font>
    <font>
      <i/>
      <sz val="9"/>
      <color rgb="FFFF0000"/>
      <name val="Calibri"/>
      <family val="2"/>
    </font>
    <font>
      <sz val="9"/>
      <color rgb="FF0000FF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8"/>
      <color rgb="FF595959"/>
      <name val="Calibri"/>
      <family val="2"/>
    </font>
    <font>
      <sz val="9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FF"/>
      <name val="Calibri"/>
      <family val="2"/>
    </font>
    <font>
      <b/>
      <sz val="10"/>
      <color rgb="FF1F3864"/>
      <name val="Calibri"/>
      <family val="2"/>
    </font>
    <font>
      <b/>
      <sz val="9"/>
      <color rgb="FF006064"/>
      <name val="Calibri"/>
      <family val="2"/>
    </font>
    <font>
      <sz val="9"/>
      <color rgb="FF375623"/>
      <name val="Calibri"/>
      <family val="2"/>
    </font>
    <font>
      <sz val="9"/>
      <color rgb="FF0000FF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  <family val="2"/>
    </font>
    <font>
      <sz val="9"/>
      <color rgb="FF000000"/>
      <name val="Calibri"/>
      <family val="2"/>
    </font>
    <font>
      <sz val="9"/>
      <color rgb="FF375623"/>
      <name val="Calibri"/>
      <family val="2"/>
    </font>
    <font>
      <sz val="16"/>
      <name val="Arial"/>
      <family val="2"/>
    </font>
    <font>
      <b/>
      <sz val="10"/>
      <name val="Arial"/>
      <family val="2"/>
    </font>
    <font>
      <sz val="16"/>
      <color rgb="FF000000"/>
      <name val="Aptos Narrow"/>
      <family val="2"/>
    </font>
    <font>
      <sz val="11"/>
      <color rgb="FF000000"/>
      <name val="Aptos Narrow"/>
      <family val="2"/>
    </font>
    <font>
      <sz val="10"/>
      <color theme="1"/>
      <name val="Aptos Narrow"/>
      <family val="2"/>
    </font>
    <font>
      <b/>
      <sz val="11"/>
      <color theme="1"/>
      <name val="Aptos Narrow"/>
      <family val="2"/>
    </font>
    <font>
      <sz val="11"/>
      <color indexed="8"/>
      <name val="Aptos Narrow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FF0000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2F3D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69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2" fillId="4" borderId="22" applyNumberFormat="0" applyAlignment="0" applyProtection="0"/>
    <xf numFmtId="0" fontId="43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63" fillId="0" borderId="0" applyNumberFormat="0" applyFill="0" applyBorder="0" applyAlignment="0" applyProtection="0"/>
  </cellStyleXfs>
  <cellXfs count="369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0" fontId="32" fillId="19" borderId="3" xfId="24" applyFill="1" applyBorder="1"/>
    <xf numFmtId="3" fontId="32" fillId="19" borderId="3" xfId="20" applyNumberFormat="1" applyFont="1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32" fillId="22" borderId="3" xfId="1" applyFont="1" applyFill="1" applyBorder="1"/>
    <xf numFmtId="0" fontId="16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44" fillId="6" borderId="1" xfId="0" applyFont="1" applyFill="1" applyBorder="1" applyAlignment="1">
      <alignment horizontal="center" vertical="center" wrapText="1"/>
    </xf>
    <xf numFmtId="0" fontId="44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0" fontId="42" fillId="4" borderId="22" xfId="49" applyNumberFormat="1" applyAlignment="1">
      <alignment horizontal="right" vertical="center"/>
    </xf>
    <xf numFmtId="10" fontId="43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0" borderId="1" xfId="0" applyFont="1" applyFill="1" applyBorder="1" applyAlignment="1">
      <alignment horizontal="center" vertical="center" wrapText="1"/>
    </xf>
    <xf numFmtId="3" fontId="49" fillId="11" borderId="1" xfId="0" applyNumberFormat="1" applyFont="1" applyFill="1" applyBorder="1" applyAlignment="1">
      <alignment horizontal="right" vertical="center"/>
    </xf>
    <xf numFmtId="0" fontId="48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50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0" fontId="41" fillId="30" borderId="1" xfId="0" applyFont="1" applyFill="1" applyBorder="1" applyAlignment="1">
      <alignment horizontal="left" vertical="center" wrapText="1"/>
    </xf>
    <xf numFmtId="0" fontId="46" fillId="30" borderId="1" xfId="0" applyFont="1" applyFill="1" applyBorder="1" applyAlignment="1">
      <alignment horizontal="left" vertical="center" wrapText="1"/>
    </xf>
    <xf numFmtId="0" fontId="52" fillId="30" borderId="1" xfId="0" applyFont="1" applyFill="1" applyBorder="1" applyAlignment="1">
      <alignment horizontal="center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0" fontId="23" fillId="30" borderId="16" xfId="0" applyFont="1" applyFill="1" applyBorder="1" applyAlignment="1">
      <alignment horizontal="center" vertical="center"/>
    </xf>
    <xf numFmtId="0" fontId="46" fillId="30" borderId="16" xfId="0" applyFont="1" applyFill="1" applyBorder="1" applyAlignment="1">
      <alignment horizontal="left" vertical="center" wrapText="1"/>
    </xf>
    <xf numFmtId="0" fontId="25" fillId="31" borderId="26" xfId="0" applyFont="1" applyFill="1" applyBorder="1" applyAlignment="1">
      <alignment horizontal="lef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53" fillId="16" borderId="1" xfId="0" applyFont="1" applyFill="1" applyBorder="1" applyAlignment="1">
      <alignment horizontal="left" vertical="center"/>
    </xf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6" fillId="31" borderId="1" xfId="0" applyFont="1" applyFill="1" applyBorder="1" applyAlignment="1">
      <alignment horizontal="left" vertical="center" wrapText="1"/>
    </xf>
    <xf numFmtId="0" fontId="4" fillId="31" borderId="14" xfId="0" applyFont="1" applyFill="1" applyBorder="1" applyAlignment="1">
      <alignment horizontal="left" vertical="center"/>
    </xf>
    <xf numFmtId="10" fontId="54" fillId="31" borderId="14" xfId="0" applyNumberFormat="1" applyFont="1" applyFill="1" applyBorder="1" applyAlignment="1">
      <alignment horizontal="center" vertical="center"/>
    </xf>
    <xf numFmtId="0" fontId="55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56" fillId="3" borderId="1" xfId="0" applyFont="1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3" fontId="57" fillId="32" borderId="1" xfId="0" applyNumberFormat="1" applyFont="1" applyFill="1" applyBorder="1" applyAlignment="1">
      <alignment horizontal="right" vertical="center"/>
    </xf>
    <xf numFmtId="3" fontId="58" fillId="12" borderId="2" xfId="0" applyNumberFormat="1" applyFont="1" applyFill="1" applyBorder="1" applyAlignment="1">
      <alignment horizontal="lef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3" fontId="59" fillId="7" borderId="16" xfId="0" applyNumberFormat="1" applyFont="1" applyFill="1" applyBorder="1" applyAlignment="1">
      <alignment horizontal="right" vertical="center"/>
    </xf>
    <xf numFmtId="3" fontId="60" fillId="16" borderId="1" xfId="0" applyNumberFormat="1" applyFont="1" applyFill="1" applyBorder="1" applyAlignment="1">
      <alignment horizontal="right" vertical="center"/>
    </xf>
    <xf numFmtId="1" fontId="12" fillId="33" borderId="1" xfId="0" applyNumberFormat="1" applyFont="1" applyFill="1" applyBorder="1" applyAlignment="1">
      <alignment horizontal="right" vertical="center"/>
    </xf>
    <xf numFmtId="1" fontId="53" fillId="33" borderId="1" xfId="0" applyNumberFormat="1" applyFont="1" applyFill="1" applyBorder="1" applyAlignment="1">
      <alignment horizontal="right" vertical="center"/>
    </xf>
    <xf numFmtId="3" fontId="61" fillId="34" borderId="1" xfId="0" applyNumberFormat="1" applyFont="1" applyFill="1" applyBorder="1" applyAlignment="1">
      <alignment horizontal="right" vertical="center"/>
    </xf>
    <xf numFmtId="166" fontId="12" fillId="33" borderId="1" xfId="0" applyNumberFormat="1" applyFont="1" applyFill="1" applyBorder="1" applyAlignment="1">
      <alignment horizontal="right" vertical="center"/>
    </xf>
    <xf numFmtId="166" fontId="53" fillId="33" borderId="1" xfId="0" applyNumberFormat="1" applyFont="1" applyFill="1" applyBorder="1" applyAlignment="1">
      <alignment horizontal="right" vertical="center"/>
    </xf>
    <xf numFmtId="3" fontId="61" fillId="35" borderId="1" xfId="0" applyNumberFormat="1" applyFont="1" applyFill="1" applyBorder="1" applyAlignment="1">
      <alignment horizontal="right" vertical="center"/>
    </xf>
    <xf numFmtId="3" fontId="60" fillId="30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56" fillId="14" borderId="1" xfId="0" applyFont="1" applyFill="1" applyBorder="1" applyAlignment="1">
      <alignment vertical="center" wrapText="1"/>
    </xf>
    <xf numFmtId="0" fontId="56" fillId="2" borderId="1" xfId="0" applyFont="1" applyFill="1" applyBorder="1" applyAlignment="1">
      <alignment horizontal="center" vertical="center" wrapText="1"/>
    </xf>
    <xf numFmtId="165" fontId="31" fillId="19" borderId="3" xfId="2" applyNumberFormat="1" applyFont="1" applyFill="1" applyBorder="1"/>
    <xf numFmtId="165" fontId="31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41" fillId="33" borderId="3" xfId="0" applyFont="1" applyFill="1" applyBorder="1" applyAlignment="1">
      <alignment horizontal="left" vertical="center"/>
    </xf>
    <xf numFmtId="0" fontId="12" fillId="33" borderId="3" xfId="0" applyFont="1" applyFill="1" applyBorder="1" applyAlignment="1">
      <alignment horizontal="left" vertical="center"/>
    </xf>
    <xf numFmtId="0" fontId="63" fillId="0" borderId="0" xfId="77"/>
    <xf numFmtId="0" fontId="62" fillId="32" borderId="0" xfId="0" applyFont="1" applyFill="1"/>
    <xf numFmtId="0" fontId="64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65" fillId="7" borderId="1" xfId="76" applyFont="1" applyFill="1" applyBorder="1" applyAlignment="1">
      <alignment horizontal="center" vertical="center"/>
    </xf>
    <xf numFmtId="0" fontId="64" fillId="0" borderId="0" xfId="0" applyFont="1"/>
    <xf numFmtId="0" fontId="45" fillId="37" borderId="20" xfId="0" applyFont="1" applyFill="1" applyBorder="1" applyAlignment="1">
      <alignment horizontal="left" vertical="center"/>
    </xf>
    <xf numFmtId="0" fontId="45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5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5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0" fontId="41" fillId="15" borderId="36" xfId="0" applyFont="1" applyFill="1" applyBorder="1" applyAlignment="1">
      <alignment horizontal="lef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67" fillId="15" borderId="1" xfId="0" applyFont="1" applyFill="1" applyBorder="1" applyAlignment="1">
      <alignment horizontal="center" vertical="center"/>
    </xf>
    <xf numFmtId="1" fontId="68" fillId="4" borderId="1" xfId="0" applyNumberFormat="1" applyFont="1" applyFill="1" applyBorder="1" applyAlignment="1">
      <alignment horizontal="left" vertical="center"/>
    </xf>
    <xf numFmtId="1" fontId="68" fillId="15" borderId="1" xfId="0" applyNumberFormat="1" applyFont="1" applyFill="1" applyBorder="1" applyAlignment="1">
      <alignment horizontal="center" vertical="center"/>
    </xf>
    <xf numFmtId="167" fontId="69" fillId="16" borderId="1" xfId="0" applyNumberFormat="1" applyFont="1" applyFill="1" applyBorder="1" applyAlignment="1">
      <alignment horizontal="right" vertical="center"/>
    </xf>
    <xf numFmtId="3" fontId="69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6" fillId="0" borderId="0" xfId="33" applyBorder="1"/>
    <xf numFmtId="0" fontId="36" fillId="0" borderId="0" xfId="0" applyFont="1"/>
    <xf numFmtId="3" fontId="31" fillId="19" borderId="3" xfId="20" applyNumberFormat="1" applyFont="1" applyFill="1" applyBorder="1"/>
    <xf numFmtId="165" fontId="31" fillId="19" borderId="3" xfId="3" applyNumberFormat="1" applyFont="1" applyFill="1" applyBorder="1"/>
    <xf numFmtId="0" fontId="68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170" fontId="31" fillId="19" borderId="3" xfId="20" applyNumberFormat="1" applyFont="1" applyFill="1" applyBorder="1"/>
    <xf numFmtId="170" fontId="31" fillId="19" borderId="3" xfId="2" applyNumberFormat="1" applyFont="1" applyFill="1" applyBorder="1"/>
    <xf numFmtId="2" fontId="0" fillId="0" borderId="0" xfId="0" applyNumberFormat="1"/>
    <xf numFmtId="0" fontId="6" fillId="2" borderId="16" xfId="0" applyFont="1" applyFill="1" applyBorder="1" applyAlignment="1">
      <alignment horizontal="center" vertical="center" wrapText="1"/>
    </xf>
    <xf numFmtId="3" fontId="0" fillId="0" borderId="0" xfId="0" applyNumberFormat="1"/>
    <xf numFmtId="0" fontId="32" fillId="38" borderId="0" xfId="7" applyFill="1"/>
    <xf numFmtId="0" fontId="70" fillId="38" borderId="0" xfId="7" applyFont="1" applyFill="1"/>
    <xf numFmtId="0" fontId="0" fillId="38" borderId="0" xfId="0" applyFill="1"/>
    <xf numFmtId="0" fontId="31" fillId="38" borderId="0" xfId="7" applyFont="1" applyFill="1"/>
    <xf numFmtId="0" fontId="71" fillId="35" borderId="3" xfId="7" applyFont="1" applyFill="1" applyBorder="1"/>
    <xf numFmtId="0" fontId="71" fillId="35" borderId="45" xfId="7" applyFont="1" applyFill="1" applyBorder="1"/>
    <xf numFmtId="0" fontId="71" fillId="35" borderId="4" xfId="7" applyFont="1" applyFill="1" applyBorder="1"/>
    <xf numFmtId="49" fontId="71" fillId="35" borderId="46" xfId="7" applyNumberFormat="1" applyFont="1" applyFill="1" applyBorder="1" applyAlignment="1">
      <alignment horizontal="right"/>
    </xf>
    <xf numFmtId="49" fontId="71" fillId="35" borderId="3" xfId="7" applyNumberFormat="1" applyFont="1" applyFill="1" applyBorder="1" applyAlignment="1">
      <alignment horizontal="right"/>
    </xf>
    <xf numFmtId="0" fontId="31" fillId="34" borderId="47" xfId="7" applyFont="1" applyFill="1" applyBorder="1"/>
    <xf numFmtId="0" fontId="32" fillId="34" borderId="3" xfId="7" applyFill="1" applyBorder="1"/>
    <xf numFmtId="0" fontId="32" fillId="34" borderId="4" xfId="7" applyFill="1" applyBorder="1" applyAlignment="1">
      <alignment horizontal="center"/>
    </xf>
    <xf numFmtId="0" fontId="32" fillId="39" borderId="48" xfId="7" applyFill="1" applyBorder="1" applyProtection="1">
      <protection locked="0"/>
    </xf>
    <xf numFmtId="0" fontId="32" fillId="34" borderId="47" xfId="7" applyFill="1" applyBorder="1"/>
    <xf numFmtId="0" fontId="32" fillId="34" borderId="49" xfId="7" applyFill="1" applyBorder="1"/>
    <xf numFmtId="0" fontId="32" fillId="34" borderId="50" xfId="7" applyFill="1" applyBorder="1"/>
    <xf numFmtId="0" fontId="32" fillId="34" borderId="51" xfId="7" applyFill="1" applyBorder="1" applyAlignment="1">
      <alignment horizontal="center"/>
    </xf>
    <xf numFmtId="0" fontId="32" fillId="39" borderId="52" xfId="7" applyFill="1" applyBorder="1" applyProtection="1">
      <protection locked="0"/>
    </xf>
    <xf numFmtId="0" fontId="32" fillId="34" borderId="53" xfId="7" applyFill="1" applyBorder="1"/>
    <xf numFmtId="0" fontId="32" fillId="34" borderId="54" xfId="7" applyFill="1" applyBorder="1" applyAlignment="1">
      <alignment horizontal="center"/>
    </xf>
    <xf numFmtId="0" fontId="71" fillId="35" borderId="55" xfId="7" applyFont="1" applyFill="1" applyBorder="1"/>
    <xf numFmtId="0" fontId="71" fillId="35" borderId="56" xfId="7" applyFont="1" applyFill="1" applyBorder="1"/>
    <xf numFmtId="0" fontId="71" fillId="35" borderId="57" xfId="7" applyFont="1" applyFill="1" applyBorder="1"/>
    <xf numFmtId="0" fontId="71" fillId="35" borderId="58" xfId="7" applyFont="1" applyFill="1" applyBorder="1"/>
    <xf numFmtId="0" fontId="71" fillId="38" borderId="0" xfId="7" applyFont="1" applyFill="1"/>
    <xf numFmtId="0" fontId="71" fillId="35" borderId="27" xfId="7" applyFont="1" applyFill="1" applyBorder="1"/>
    <xf numFmtId="9" fontId="71" fillId="35" borderId="3" xfId="11" applyFont="1" applyFill="1" applyBorder="1" applyProtection="1"/>
    <xf numFmtId="170" fontId="0" fillId="0" borderId="0" xfId="0" applyNumberFormat="1"/>
    <xf numFmtId="0" fontId="32" fillId="34" borderId="4" xfId="7" applyFill="1" applyBorder="1"/>
    <xf numFmtId="0" fontId="32" fillId="34" borderId="27" xfId="7" applyFill="1" applyBorder="1"/>
    <xf numFmtId="10" fontId="0" fillId="34" borderId="59" xfId="11" applyNumberFormat="1" applyFont="1" applyFill="1" applyBorder="1" applyProtection="1"/>
    <xf numFmtId="0" fontId="32" fillId="34" borderId="46" xfId="7" applyFill="1" applyBorder="1"/>
    <xf numFmtId="2" fontId="31" fillId="34" borderId="3" xfId="7" applyNumberFormat="1" applyFont="1" applyFill="1" applyBorder="1"/>
    <xf numFmtId="2" fontId="0" fillId="38" borderId="0" xfId="0" applyNumberFormat="1" applyFill="1"/>
    <xf numFmtId="9" fontId="31" fillId="38" borderId="0" xfId="11" applyFont="1" applyFill="1" applyBorder="1" applyProtection="1"/>
    <xf numFmtId="0" fontId="32" fillId="38" borderId="27" xfId="7" applyFill="1" applyBorder="1"/>
    <xf numFmtId="0" fontId="32" fillId="40" borderId="4" xfId="7" applyFill="1" applyBorder="1"/>
    <xf numFmtId="0" fontId="32" fillId="40" borderId="45" xfId="7" applyFill="1" applyBorder="1"/>
    <xf numFmtId="10" fontId="0" fillId="40" borderId="3" xfId="11" applyNumberFormat="1" applyFont="1" applyFill="1" applyBorder="1" applyProtection="1"/>
    <xf numFmtId="0" fontId="32" fillId="40" borderId="3" xfId="7" applyFill="1" applyBorder="1"/>
    <xf numFmtId="10" fontId="0" fillId="38" borderId="0" xfId="11" applyNumberFormat="1" applyFont="1" applyFill="1" applyProtection="1"/>
    <xf numFmtId="0" fontId="31" fillId="34" borderId="4" xfId="7" applyFont="1" applyFill="1" applyBorder="1"/>
    <xf numFmtId="0" fontId="32" fillId="34" borderId="45" xfId="7" applyFill="1" applyBorder="1"/>
    <xf numFmtId="0" fontId="71" fillId="35" borderId="60" xfId="7" applyFont="1" applyFill="1" applyBorder="1"/>
    <xf numFmtId="0" fontId="71" fillId="35" borderId="61" xfId="7" applyFont="1" applyFill="1" applyBorder="1"/>
    <xf numFmtId="0" fontId="71" fillId="35" borderId="62" xfId="7" applyFont="1" applyFill="1" applyBorder="1"/>
    <xf numFmtId="0" fontId="71" fillId="35" borderId="63" xfId="7" applyFont="1" applyFill="1" applyBorder="1"/>
    <xf numFmtId="2" fontId="71" fillId="35" borderId="63" xfId="7" applyNumberFormat="1" applyFont="1" applyFill="1" applyBorder="1"/>
    <xf numFmtId="171" fontId="31" fillId="40" borderId="3" xfId="3" applyNumberFormat="1" applyFont="1" applyFill="1" applyBorder="1" applyProtection="1"/>
    <xf numFmtId="171" fontId="71" fillId="35" borderId="64" xfId="3" applyNumberFormat="1" applyFont="1" applyFill="1" applyBorder="1" applyProtection="1"/>
    <xf numFmtId="171" fontId="71" fillId="35" borderId="63" xfId="3" applyNumberFormat="1" applyFont="1" applyFill="1" applyBorder="1" applyProtection="1"/>
    <xf numFmtId="2" fontId="71" fillId="35" borderId="63" xfId="3" applyNumberFormat="1" applyFont="1" applyFill="1" applyBorder="1" applyProtection="1"/>
    <xf numFmtId="0" fontId="73" fillId="41" borderId="68" xfId="0" applyFont="1" applyFill="1" applyBorder="1" applyAlignment="1">
      <alignment vertical="center"/>
    </xf>
    <xf numFmtId="0" fontId="73" fillId="41" borderId="40" xfId="0" applyFont="1" applyFill="1" applyBorder="1" applyAlignment="1">
      <alignment vertical="center"/>
    </xf>
    <xf numFmtId="0" fontId="73" fillId="41" borderId="37" xfId="0" applyFont="1" applyFill="1" applyBorder="1" applyAlignment="1">
      <alignment vertical="center"/>
    </xf>
    <xf numFmtId="0" fontId="73" fillId="0" borderId="68" xfId="0" applyFont="1" applyBorder="1" applyAlignment="1">
      <alignment vertical="center"/>
    </xf>
    <xf numFmtId="0" fontId="73" fillId="0" borderId="40" xfId="0" applyFont="1" applyBorder="1" applyAlignment="1">
      <alignment vertical="center"/>
    </xf>
    <xf numFmtId="0" fontId="73" fillId="0" borderId="40" xfId="0" applyFont="1" applyBorder="1" applyAlignment="1">
      <alignment horizontal="right" vertical="center"/>
    </xf>
    <xf numFmtId="0" fontId="73" fillId="0" borderId="39" xfId="0" applyFont="1" applyBorder="1" applyAlignment="1">
      <alignment horizontal="right" vertical="center"/>
    </xf>
    <xf numFmtId="172" fontId="74" fillId="0" borderId="3" xfId="0" applyNumberFormat="1" applyFont="1" applyBorder="1" applyAlignment="1">
      <alignment vertical="center" wrapText="1"/>
    </xf>
    <xf numFmtId="0" fontId="62" fillId="42" borderId="28" xfId="0" applyFont="1" applyFill="1" applyBorder="1"/>
    <xf numFmtId="172" fontId="75" fillId="42" borderId="28" xfId="0" applyNumberFormat="1" applyFont="1" applyFill="1" applyBorder="1"/>
    <xf numFmtId="10" fontId="0" fillId="0" borderId="0" xfId="76" applyNumberFormat="1" applyFont="1"/>
    <xf numFmtId="0" fontId="0" fillId="0" borderId="0" xfId="0" applyAlignment="1">
      <alignment horizontal="right"/>
    </xf>
    <xf numFmtId="0" fontId="33" fillId="0" borderId="0" xfId="0" applyFont="1"/>
    <xf numFmtId="170" fontId="33" fillId="0" borderId="0" xfId="0" applyNumberFormat="1" applyFont="1"/>
    <xf numFmtId="170" fontId="33" fillId="19" borderId="0" xfId="0" applyNumberFormat="1" applyFont="1" applyFill="1"/>
    <xf numFmtId="170" fontId="33" fillId="35" borderId="0" xfId="0" applyNumberFormat="1" applyFont="1" applyFill="1"/>
    <xf numFmtId="170" fontId="33" fillId="43" borderId="0" xfId="0" applyNumberFormat="1" applyFont="1" applyFill="1"/>
    <xf numFmtId="170" fontId="33" fillId="44" borderId="0" xfId="0" applyNumberFormat="1" applyFont="1" applyFill="1"/>
    <xf numFmtId="170" fontId="33" fillId="45" borderId="0" xfId="0" applyNumberFormat="1" applyFont="1" applyFill="1"/>
    <xf numFmtId="170" fontId="33" fillId="46" borderId="0" xfId="0" applyNumberFormat="1" applyFont="1" applyFill="1"/>
    <xf numFmtId="0" fontId="76" fillId="0" borderId="0" xfId="0" applyFont="1"/>
    <xf numFmtId="170" fontId="76" fillId="0" borderId="0" xfId="0" applyNumberFormat="1" applyFont="1"/>
    <xf numFmtId="170" fontId="33" fillId="47" borderId="0" xfId="0" applyNumberFormat="1" applyFont="1" applyFill="1"/>
    <xf numFmtId="170" fontId="33" fillId="48" borderId="0" xfId="0" applyNumberFormat="1" applyFont="1" applyFill="1"/>
    <xf numFmtId="170" fontId="33" fillId="49" borderId="0" xfId="0" applyNumberFormat="1" applyFont="1" applyFill="1"/>
    <xf numFmtId="170" fontId="33" fillId="50" borderId="0" xfId="0" applyNumberFormat="1" applyFont="1" applyFill="1"/>
    <xf numFmtId="170" fontId="33" fillId="51" borderId="0" xfId="0" applyNumberFormat="1" applyFont="1" applyFill="1"/>
    <xf numFmtId="170" fontId="6" fillId="2" borderId="1" xfId="0" applyNumberFormat="1" applyFont="1" applyFill="1" applyBorder="1" applyAlignment="1">
      <alignment horizontal="center" vertical="center" wrapText="1"/>
    </xf>
    <xf numFmtId="170" fontId="31" fillId="22" borderId="3" xfId="1" applyNumberFormat="1" applyFill="1" applyBorder="1"/>
    <xf numFmtId="170" fontId="33" fillId="0" borderId="27" xfId="0" applyNumberFormat="1" applyFont="1" applyBorder="1"/>
    <xf numFmtId="0" fontId="33" fillId="0" borderId="0" xfId="0" applyFont="1" applyAlignment="1">
      <alignment horizontal="right"/>
    </xf>
    <xf numFmtId="170" fontId="76" fillId="0" borderId="27" xfId="0" applyNumberFormat="1" applyFont="1" applyBorder="1"/>
    <xf numFmtId="170" fontId="76" fillId="19" borderId="27" xfId="0" applyNumberFormat="1" applyFont="1" applyFill="1" applyBorder="1"/>
    <xf numFmtId="49" fontId="12" fillId="30" borderId="16" xfId="0" applyNumberFormat="1" applyFont="1" applyFill="1" applyBorder="1" applyAlignment="1">
      <alignment horizontal="left" vertical="center" wrapText="1"/>
    </xf>
    <xf numFmtId="170" fontId="77" fillId="0" borderId="0" xfId="0" applyNumberFormat="1" applyFont="1"/>
    <xf numFmtId="170" fontId="6" fillId="3" borderId="1" xfId="0" applyNumberFormat="1" applyFont="1" applyFill="1" applyBorder="1" applyAlignment="1">
      <alignment horizontal="center" vertical="center" wrapText="1"/>
    </xf>
    <xf numFmtId="170" fontId="60" fillId="30" borderId="1" xfId="0" applyNumberFormat="1" applyFont="1" applyFill="1" applyBorder="1" applyAlignment="1">
      <alignment horizontal="right" vertical="center"/>
    </xf>
    <xf numFmtId="170" fontId="24" fillId="31" borderId="25" xfId="0" applyNumberFormat="1" applyFont="1" applyFill="1" applyBorder="1" applyAlignment="1">
      <alignment horizontal="right" vertical="center"/>
    </xf>
    <xf numFmtId="170" fontId="14" fillId="30" borderId="1" xfId="0" applyNumberFormat="1" applyFont="1" applyFill="1" applyBorder="1" applyAlignment="1">
      <alignment horizontal="right" vertical="center"/>
    </xf>
    <xf numFmtId="170" fontId="18" fillId="30" borderId="16" xfId="0" applyNumberFormat="1" applyFont="1" applyFill="1" applyBorder="1" applyAlignment="1">
      <alignment horizontal="right" vertical="center"/>
    </xf>
    <xf numFmtId="170" fontId="18" fillId="30" borderId="1" xfId="0" applyNumberFormat="1" applyFont="1" applyFill="1" applyBorder="1" applyAlignment="1">
      <alignment horizontal="right" vertical="center"/>
    </xf>
    <xf numFmtId="170" fontId="26" fillId="31" borderId="26" xfId="0" applyNumberFormat="1" applyFont="1" applyFill="1" applyBorder="1" applyAlignment="1">
      <alignment horizontal="right" vertical="center"/>
    </xf>
    <xf numFmtId="170" fontId="28" fillId="31" borderId="14" xfId="0" applyNumberFormat="1" applyFont="1" applyFill="1" applyBorder="1" applyAlignment="1">
      <alignment horizontal="right" vertical="center"/>
    </xf>
    <xf numFmtId="170" fontId="26" fillId="31" borderId="25" xfId="0" applyNumberFormat="1" applyFont="1" applyFill="1" applyBorder="1" applyAlignment="1">
      <alignment horizontal="right" vertical="center"/>
    </xf>
    <xf numFmtId="170" fontId="26" fillId="31" borderId="0" xfId="0" applyNumberFormat="1" applyFont="1" applyFill="1" applyAlignment="1">
      <alignment horizontal="right" vertical="center"/>
    </xf>
    <xf numFmtId="170" fontId="28" fillId="16" borderId="1" xfId="0" applyNumberFormat="1" applyFont="1" applyFill="1" applyBorder="1" applyAlignment="1">
      <alignment horizontal="right" vertical="center"/>
    </xf>
    <xf numFmtId="170" fontId="14" fillId="31" borderId="1" xfId="0" applyNumberFormat="1" applyFont="1" applyFill="1" applyBorder="1" applyAlignment="1">
      <alignment horizontal="right" vertical="center"/>
    </xf>
    <xf numFmtId="170" fontId="29" fillId="16" borderId="2" xfId="0" applyNumberFormat="1" applyFont="1" applyFill="1" applyBorder="1" applyAlignment="1">
      <alignment horizontal="right" vertical="center"/>
    </xf>
    <xf numFmtId="0" fontId="80" fillId="0" borderId="0" xfId="0" applyFont="1" applyAlignment="1">
      <alignment horizontal="right"/>
    </xf>
    <xf numFmtId="0" fontId="77" fillId="0" borderId="0" xfId="0" applyFont="1"/>
    <xf numFmtId="170" fontId="0" fillId="0" borderId="27" xfId="0" applyNumberFormat="1" applyBorder="1"/>
    <xf numFmtId="0" fontId="23" fillId="30" borderId="16" xfId="0" applyFont="1" applyFill="1" applyBorder="1" applyAlignment="1">
      <alignment horizontal="left" vertical="center" wrapText="1"/>
    </xf>
    <xf numFmtId="172" fontId="0" fillId="0" borderId="0" xfId="0" applyNumberFormat="1"/>
    <xf numFmtId="0" fontId="1" fillId="2" borderId="0" xfId="0" applyFont="1" applyFill="1" applyAlignment="1">
      <alignment horizontal="left" vertical="center"/>
    </xf>
    <xf numFmtId="0" fontId="0" fillId="0" borderId="0" xfId="0"/>
    <xf numFmtId="0" fontId="2" fillId="9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left" vertical="center"/>
    </xf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47" fillId="14" borderId="0" xfId="0" applyFont="1" applyFill="1" applyAlignment="1">
      <alignment horizontal="left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56" fillId="14" borderId="10" xfId="0" applyFont="1" applyFill="1" applyBorder="1" applyAlignment="1">
      <alignment horizontal="center" vertical="center" wrapText="1"/>
    </xf>
    <xf numFmtId="0" fontId="56" fillId="14" borderId="29" xfId="0" applyFont="1" applyFill="1" applyBorder="1" applyAlignment="1">
      <alignment horizontal="center" vertical="center" wrapText="1"/>
    </xf>
    <xf numFmtId="0" fontId="56" fillId="14" borderId="19" xfId="0" applyFont="1" applyFill="1" applyBorder="1" applyAlignment="1">
      <alignment horizontal="center" vertical="center" wrapText="1"/>
    </xf>
    <xf numFmtId="0" fontId="56" fillId="2" borderId="11" xfId="0" applyFont="1" applyFill="1" applyBorder="1" applyAlignment="1">
      <alignment horizontal="center" vertical="center" wrapText="1"/>
    </xf>
    <xf numFmtId="0" fontId="56" fillId="2" borderId="12" xfId="0" applyFont="1" applyFill="1" applyBorder="1" applyAlignment="1">
      <alignment horizontal="center" vertical="center" wrapText="1"/>
    </xf>
    <xf numFmtId="0" fontId="56" fillId="2" borderId="13" xfId="0" applyFont="1" applyFill="1" applyBorder="1" applyAlignment="1">
      <alignment horizontal="center" vertical="center" wrapText="1"/>
    </xf>
    <xf numFmtId="0" fontId="72" fillId="41" borderId="65" xfId="0" applyFont="1" applyFill="1" applyBorder="1" applyAlignment="1">
      <alignment horizontal="center" vertical="center"/>
    </xf>
    <xf numFmtId="0" fontId="72" fillId="41" borderId="66" xfId="0" applyFont="1" applyFill="1" applyBorder="1" applyAlignment="1">
      <alignment horizontal="center" vertical="center"/>
    </xf>
    <xf numFmtId="0" fontId="72" fillId="41" borderId="67" xfId="0" applyFont="1" applyFill="1" applyBorder="1" applyAlignment="1">
      <alignment horizontal="center" vertical="center"/>
    </xf>
    <xf numFmtId="0" fontId="72" fillId="41" borderId="36" xfId="0" applyFont="1" applyFill="1" applyBorder="1" applyAlignment="1">
      <alignment horizontal="center" vertical="center"/>
    </xf>
    <xf numFmtId="0" fontId="72" fillId="41" borderId="0" xfId="0" applyFont="1" applyFill="1" applyAlignment="1">
      <alignment horizontal="center" vertical="center"/>
    </xf>
    <xf numFmtId="0" fontId="72" fillId="41" borderId="37" xfId="0" applyFont="1" applyFill="1" applyBorder="1" applyAlignment="1">
      <alignment horizontal="center" vertical="center"/>
    </xf>
    <xf numFmtId="0" fontId="72" fillId="41" borderId="38" xfId="0" applyFont="1" applyFill="1" applyBorder="1" applyAlignment="1">
      <alignment horizontal="center" vertical="center"/>
    </xf>
    <xf numFmtId="0" fontId="72" fillId="41" borderId="39" xfId="0" applyFont="1" applyFill="1" applyBorder="1" applyAlignment="1">
      <alignment horizontal="center" vertical="center"/>
    </xf>
    <xf numFmtId="0" fontId="72" fillId="41" borderId="40" xfId="0" applyFont="1" applyFill="1" applyBorder="1" applyAlignment="1">
      <alignment horizontal="center" vertical="center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34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444499</xdr:colOff>
      <xdr:row>3</xdr:row>
      <xdr:rowOff>10583</xdr:rowOff>
    </xdr:from>
    <xdr:to>
      <xdr:col>7</xdr:col>
      <xdr:colOff>698500</xdr:colOff>
      <xdr:row>7</xdr:row>
      <xdr:rowOff>42333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2D1AEBDC-FC49-49FB-B76B-D0132C57C87C}"/>
            </a:ext>
          </a:extLst>
        </xdr:cNvPr>
        <xdr:cNvSpPr txBox="1"/>
      </xdr:nvSpPr>
      <xdr:spPr>
        <a:xfrm>
          <a:off x="2054224" y="591608"/>
          <a:ext cx="3559176" cy="679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innerShdw blurRad="152400">
            <a:prstClr val="black"/>
          </a:innerShdw>
          <a:softEdge rad="0"/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200" b="1"/>
            <a:t>Registrer</a:t>
          </a:r>
          <a:r>
            <a:rPr lang="nb-NO" sz="1200" b="1" baseline="0"/>
            <a:t> antall barn etter oppholdstid og fødselsår.</a:t>
          </a:r>
        </a:p>
        <a:p>
          <a:r>
            <a:rPr lang="nb-NO" sz="1200" b="1" baseline="0"/>
            <a:t>Dette gjøres i månedene oppgitt i tabellen.</a:t>
          </a:r>
        </a:p>
        <a:p>
          <a:r>
            <a:rPr lang="nb-NO" sz="1200" b="1" baseline="0"/>
            <a:t>Tallene registreres i det gule feltet.</a:t>
          </a:r>
          <a:endParaRPr lang="nb-NO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57151</xdr:colOff>
      <xdr:row>21</xdr:row>
      <xdr:rowOff>47625</xdr:rowOff>
    </xdr:from>
    <xdr:to>
      <xdr:col>8</xdr:col>
      <xdr:colOff>190501</xdr:colOff>
      <xdr:row>25</xdr:row>
      <xdr:rowOff>0</xdr:rowOff>
    </xdr:to>
    <xdr:sp macro="" textlink="">
      <xdr:nvSpPr>
        <xdr:cNvPr id="2" name="Høyre klammeparentes 1">
          <a:extLst>
            <a:ext uri="{FF2B5EF4-FFF2-40B4-BE49-F238E27FC236}">
              <a16:creationId xmlns:a16="http://schemas.microsoft.com/office/drawing/2014/main" id="{DA65228B-6EE2-545A-7F10-70981A89A759}"/>
            </a:ext>
          </a:extLst>
        </xdr:cNvPr>
        <xdr:cNvSpPr/>
      </xdr:nvSpPr>
      <xdr:spPr>
        <a:xfrm>
          <a:off x="9572626" y="4048125"/>
          <a:ext cx="133350" cy="7143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8</xdr:col>
      <xdr:colOff>76200</xdr:colOff>
      <xdr:row>18</xdr:row>
      <xdr:rowOff>9525</xdr:rowOff>
    </xdr:from>
    <xdr:to>
      <xdr:col>8</xdr:col>
      <xdr:colOff>190500</xdr:colOff>
      <xdr:row>21</xdr:row>
      <xdr:rowOff>0</xdr:rowOff>
    </xdr:to>
    <xdr:sp macro="" textlink="">
      <xdr:nvSpPr>
        <xdr:cNvPr id="5" name="Høyre klammeparentes 4">
          <a:extLst>
            <a:ext uri="{FF2B5EF4-FFF2-40B4-BE49-F238E27FC236}">
              <a16:creationId xmlns:a16="http://schemas.microsoft.com/office/drawing/2014/main" id="{B3D180B1-6E68-4EEA-B543-863DBF43B18C}"/>
            </a:ext>
          </a:extLst>
        </xdr:cNvPr>
        <xdr:cNvSpPr/>
      </xdr:nvSpPr>
      <xdr:spPr>
        <a:xfrm>
          <a:off x="9591675" y="3629025"/>
          <a:ext cx="114300" cy="5619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133350</xdr:colOff>
      <xdr:row>8</xdr:row>
      <xdr:rowOff>0</xdr:rowOff>
    </xdr:to>
    <xdr:sp macro="" textlink="">
      <xdr:nvSpPr>
        <xdr:cNvPr id="12" name="Høyre klammeparentes 11">
          <a:extLst>
            <a:ext uri="{FF2B5EF4-FFF2-40B4-BE49-F238E27FC236}">
              <a16:creationId xmlns:a16="http://schemas.microsoft.com/office/drawing/2014/main" id="{C6DB09D1-F454-46B5-8CEC-807B453740D6}"/>
            </a:ext>
          </a:extLst>
        </xdr:cNvPr>
        <xdr:cNvSpPr/>
      </xdr:nvSpPr>
      <xdr:spPr>
        <a:xfrm>
          <a:off x="9515475" y="190500"/>
          <a:ext cx="133350" cy="1333500"/>
        </a:xfrm>
        <a:prstGeom prst="rightBrace">
          <a:avLst/>
        </a:prstGeom>
        <a:noFill/>
        <a:ln w="9525" cap="flat" cmpd="sng" algn="ctr">
          <a:solidFill>
            <a:srgbClr val="4F81BD">
              <a:shade val="95000"/>
              <a:satMod val="105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nb-NO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0</xdr:colOff>
      <xdr:row>26</xdr:row>
      <xdr:rowOff>9525</xdr:rowOff>
    </xdr:from>
    <xdr:to>
      <xdr:col>8</xdr:col>
      <xdr:colOff>142875</xdr:colOff>
      <xdr:row>29</xdr:row>
      <xdr:rowOff>171451</xdr:rowOff>
    </xdr:to>
    <xdr:sp macro="" textlink="">
      <xdr:nvSpPr>
        <xdr:cNvPr id="16" name="Høyre klammeparentes 15">
          <a:extLst>
            <a:ext uri="{FF2B5EF4-FFF2-40B4-BE49-F238E27FC236}">
              <a16:creationId xmlns:a16="http://schemas.microsoft.com/office/drawing/2014/main" id="{454086EE-56DF-4C64-8AA1-57B260799F75}"/>
            </a:ext>
          </a:extLst>
        </xdr:cNvPr>
        <xdr:cNvSpPr/>
      </xdr:nvSpPr>
      <xdr:spPr>
        <a:xfrm>
          <a:off x="9515475" y="5153025"/>
          <a:ext cx="142875" cy="73342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8</xdr:col>
      <xdr:colOff>0</xdr:colOff>
      <xdr:row>32</xdr:row>
      <xdr:rowOff>28575</xdr:rowOff>
    </xdr:from>
    <xdr:to>
      <xdr:col>8</xdr:col>
      <xdr:colOff>161925</xdr:colOff>
      <xdr:row>41</xdr:row>
      <xdr:rowOff>180974</xdr:rowOff>
    </xdr:to>
    <xdr:sp macro="" textlink="">
      <xdr:nvSpPr>
        <xdr:cNvPr id="18" name="Høyre klammeparentes 17">
          <a:extLst>
            <a:ext uri="{FF2B5EF4-FFF2-40B4-BE49-F238E27FC236}">
              <a16:creationId xmlns:a16="http://schemas.microsoft.com/office/drawing/2014/main" id="{4A9D457F-8AAE-4C81-B8DF-25502A0EBB76}"/>
            </a:ext>
          </a:extLst>
        </xdr:cNvPr>
        <xdr:cNvSpPr/>
      </xdr:nvSpPr>
      <xdr:spPr>
        <a:xfrm>
          <a:off x="9515475" y="6315075"/>
          <a:ext cx="161925" cy="205739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8</xdr:col>
      <xdr:colOff>619126</xdr:colOff>
      <xdr:row>11</xdr:row>
      <xdr:rowOff>152400</xdr:rowOff>
    </xdr:from>
    <xdr:to>
      <xdr:col>9</xdr:col>
      <xdr:colOff>361951</xdr:colOff>
      <xdr:row>14</xdr:row>
      <xdr:rowOff>47625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356F3B63-BF45-0E4E-04B7-CE124EB8C8C4}"/>
            </a:ext>
          </a:extLst>
        </xdr:cNvPr>
        <xdr:cNvSpPr txBox="1"/>
      </xdr:nvSpPr>
      <xdr:spPr>
        <a:xfrm>
          <a:off x="10134601" y="2247900"/>
          <a:ext cx="2400300" cy="46672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Trekkes ut, private bhg har mottatt sin andel - 1 967 118,-</a:t>
          </a:r>
        </a:p>
      </xdr:txBody>
    </xdr:sp>
    <xdr:clientData/>
  </xdr:twoCellAnchor>
  <xdr:twoCellAnchor>
    <xdr:from>
      <xdr:col>8</xdr:col>
      <xdr:colOff>619125</xdr:colOff>
      <xdr:row>3</xdr:row>
      <xdr:rowOff>123825</xdr:rowOff>
    </xdr:from>
    <xdr:to>
      <xdr:col>9</xdr:col>
      <xdr:colOff>361950</xdr:colOff>
      <xdr:row>6</xdr:row>
      <xdr:rowOff>19050</xdr:rowOff>
    </xdr:to>
    <xdr:sp macro="" textlink="">
      <xdr:nvSpPr>
        <xdr:cNvPr id="6" name="TekstSylinder 5">
          <a:extLst>
            <a:ext uri="{FF2B5EF4-FFF2-40B4-BE49-F238E27FC236}">
              <a16:creationId xmlns:a16="http://schemas.microsoft.com/office/drawing/2014/main" id="{733ADF55-2391-4740-9E29-2DC1DA79BE7A}"/>
            </a:ext>
          </a:extLst>
        </xdr:cNvPr>
        <xdr:cNvSpPr txBox="1"/>
      </xdr:nvSpPr>
      <xdr:spPr>
        <a:xfrm>
          <a:off x="10134600" y="695325"/>
          <a:ext cx="2400300" cy="466725"/>
        </a:xfrm>
        <a:prstGeom prst="rect">
          <a:avLst/>
        </a:prstGeom>
        <a:solidFill>
          <a:srgbClr val="C0504D">
            <a:lumMod val="60000"/>
            <a:lumOff val="40000"/>
          </a:srgbClr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nb-NO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Trekkes ut, private bhg har mulighet til å delta. Øvingslærere.</a:t>
          </a:r>
        </a:p>
      </xdr:txBody>
    </xdr:sp>
    <xdr:clientData/>
  </xdr:twoCellAnchor>
  <xdr:twoCellAnchor>
    <xdr:from>
      <xdr:col>8</xdr:col>
      <xdr:colOff>590550</xdr:colOff>
      <xdr:row>22</xdr:row>
      <xdr:rowOff>152400</xdr:rowOff>
    </xdr:from>
    <xdr:to>
      <xdr:col>9</xdr:col>
      <xdr:colOff>333375</xdr:colOff>
      <xdr:row>26</xdr:row>
      <xdr:rowOff>0</xdr:rowOff>
    </xdr:to>
    <xdr:sp macro="" textlink="">
      <xdr:nvSpPr>
        <xdr:cNvPr id="8" name="TekstSylinder 7">
          <a:extLst>
            <a:ext uri="{FF2B5EF4-FFF2-40B4-BE49-F238E27FC236}">
              <a16:creationId xmlns:a16="http://schemas.microsoft.com/office/drawing/2014/main" id="{F5A6BDE0-CA6C-4F6A-88C4-FD1A75BAA0BF}"/>
            </a:ext>
          </a:extLst>
        </xdr:cNvPr>
        <xdr:cNvSpPr txBox="1"/>
      </xdr:nvSpPr>
      <xdr:spPr>
        <a:xfrm>
          <a:off x="10106025" y="4343400"/>
          <a:ext cx="2400300" cy="609600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Tilretteleggingsmidler,</a:t>
          </a:r>
          <a:r>
            <a:rPr lang="nb-NO" sz="1100" baseline="0"/>
            <a:t> priv. bhg. har mottatt sin andel. Kommunens andel trekkes ut.</a:t>
          </a:r>
          <a:endParaRPr lang="nb-NO" sz="1100"/>
        </a:p>
      </xdr:txBody>
    </xdr:sp>
    <xdr:clientData/>
  </xdr:twoCellAnchor>
  <xdr:twoCellAnchor>
    <xdr:from>
      <xdr:col>8</xdr:col>
      <xdr:colOff>266700</xdr:colOff>
      <xdr:row>26</xdr:row>
      <xdr:rowOff>171450</xdr:rowOff>
    </xdr:from>
    <xdr:to>
      <xdr:col>8</xdr:col>
      <xdr:colOff>609600</xdr:colOff>
      <xdr:row>27</xdr:row>
      <xdr:rowOff>104775</xdr:rowOff>
    </xdr:to>
    <xdr:cxnSp macro="">
      <xdr:nvCxnSpPr>
        <xdr:cNvPr id="7" name="Rett pilkobling 6">
          <a:extLst>
            <a:ext uri="{FF2B5EF4-FFF2-40B4-BE49-F238E27FC236}">
              <a16:creationId xmlns:a16="http://schemas.microsoft.com/office/drawing/2014/main" id="{DBF94BBF-0A29-C575-1C8F-CE0C892B663B}"/>
            </a:ext>
          </a:extLst>
        </xdr:cNvPr>
        <xdr:cNvCxnSpPr/>
      </xdr:nvCxnSpPr>
      <xdr:spPr>
        <a:xfrm flipH="1">
          <a:off x="9782175" y="5124450"/>
          <a:ext cx="342900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22</xdr:row>
      <xdr:rowOff>66675</xdr:rowOff>
    </xdr:from>
    <xdr:to>
      <xdr:col>8</xdr:col>
      <xdr:colOff>514350</xdr:colOff>
      <xdr:row>23</xdr:row>
      <xdr:rowOff>66675</xdr:rowOff>
    </xdr:to>
    <xdr:cxnSp macro="">
      <xdr:nvCxnSpPr>
        <xdr:cNvPr id="10" name="Rett pilkobling 9">
          <a:extLst>
            <a:ext uri="{FF2B5EF4-FFF2-40B4-BE49-F238E27FC236}">
              <a16:creationId xmlns:a16="http://schemas.microsoft.com/office/drawing/2014/main" id="{7F58818F-42D6-2D5C-86BD-C4A916BDC2D6}"/>
            </a:ext>
          </a:extLst>
        </xdr:cNvPr>
        <xdr:cNvCxnSpPr/>
      </xdr:nvCxnSpPr>
      <xdr:spPr>
        <a:xfrm flipH="1" flipV="1">
          <a:off x="9801225" y="4257675"/>
          <a:ext cx="228600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409575</xdr:colOff>
      <xdr:row>35</xdr:row>
      <xdr:rowOff>57149</xdr:rowOff>
    </xdr:from>
    <xdr:to>
      <xdr:col>9</xdr:col>
      <xdr:colOff>266700</xdr:colOff>
      <xdr:row>39</xdr:row>
      <xdr:rowOff>114300</xdr:rowOff>
    </xdr:to>
    <xdr:sp macro="" textlink="">
      <xdr:nvSpPr>
        <xdr:cNvPr id="15" name="TekstSylinder 14">
          <a:extLst>
            <a:ext uri="{FF2B5EF4-FFF2-40B4-BE49-F238E27FC236}">
              <a16:creationId xmlns:a16="http://schemas.microsoft.com/office/drawing/2014/main" id="{9AACF31B-CA25-4984-9B77-7015C83B363A}"/>
            </a:ext>
          </a:extLst>
        </xdr:cNvPr>
        <xdr:cNvSpPr txBox="1"/>
      </xdr:nvSpPr>
      <xdr:spPr>
        <a:xfrm>
          <a:off x="9925050" y="6724649"/>
          <a:ext cx="2514600" cy="819151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Toppet bemanning priv.bhg. Kommunens andel kr. 344 856,- brukes i 2026, og trekkes ut</a:t>
          </a:r>
          <a:r>
            <a:rPr lang="nb-NO" sz="1100" baseline="0"/>
            <a:t> ved neste tilskuddsberegning.</a:t>
          </a:r>
          <a:endParaRPr lang="nb-NO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46</xdr:row>
      <xdr:rowOff>38100</xdr:rowOff>
    </xdr:from>
    <xdr:to>
      <xdr:col>12</xdr:col>
      <xdr:colOff>133350</xdr:colOff>
      <xdr:row>50</xdr:row>
      <xdr:rowOff>9525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1626E68-72D3-1509-7D82-6E5AED2E1D56}"/>
            </a:ext>
          </a:extLst>
        </xdr:cNvPr>
        <xdr:cNvSpPr txBox="1"/>
      </xdr:nvSpPr>
      <xdr:spPr>
        <a:xfrm>
          <a:off x="10306050" y="8801100"/>
          <a:ext cx="1876425" cy="73342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Allerede trukket ut. Barnehagemyndighet og andre enheter </a:t>
          </a:r>
        </a:p>
      </xdr:txBody>
    </xdr:sp>
    <xdr:clientData/>
  </xdr:twoCellAnchor>
  <xdr:twoCellAnchor>
    <xdr:from>
      <xdr:col>9</xdr:col>
      <xdr:colOff>447675</xdr:colOff>
      <xdr:row>82</xdr:row>
      <xdr:rowOff>85725</xdr:rowOff>
    </xdr:from>
    <xdr:to>
      <xdr:col>12</xdr:col>
      <xdr:colOff>38100</xdr:colOff>
      <xdr:row>85</xdr:row>
      <xdr:rowOff>171450</xdr:rowOff>
    </xdr:to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CF9D0B51-5960-44DF-A201-A903B773E393}"/>
            </a:ext>
          </a:extLst>
        </xdr:cNvPr>
        <xdr:cNvSpPr txBox="1"/>
      </xdr:nvSpPr>
      <xdr:spPr>
        <a:xfrm>
          <a:off x="10210800" y="15706725"/>
          <a:ext cx="1876425" cy="65722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Erasmus, ført med prosjekt på de enkelte barnehagene.</a:t>
          </a:r>
        </a:p>
        <a:p>
          <a:r>
            <a:rPr lang="nb-NO" sz="1100"/>
            <a:t>Trekkes ut.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34" totalsRowShown="0" headerRowDxfId="33" headerRowBorderDxfId="32" tableBorderDxfId="31">
  <autoFilter ref="A2:O34" xr:uid="{EA30D17C-844F-4690-8D59-F86110B9966A}"/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30" headerRowBorderDxfId="29" tableBorderDxfId="28">
  <autoFilter ref="R3:S28" xr:uid="{E6F0859E-83A2-4B6B-85D8-5DF4876DAB0A}"/>
  <tableColumns count="2">
    <tableColumn id="1" xr3:uid="{EE094D7C-4244-4D03-B7D3-CF1966245CF4}" name="Gruppering 201*" dataDxfId="27"/>
    <tableColumn id="2" xr3:uid="{0CF0BAD8-F6E2-426D-89BF-B6AD22FBE03F}" name="Korrigert beløp som brukes i beregningen" dataDxfId="26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25" headerRowBorderDxfId="24" tableBorderDxfId="23" totalsRowBorderDxfId="22">
  <autoFilter ref="V3:W27" xr:uid="{4F23B1BB-CF25-4ED2-B5B3-EBDE6081235C}"/>
  <tableColumns count="2">
    <tableColumn id="1" xr3:uid="{2E91D950-ACAA-4694-AF14-16F15AFD5178}" name="Korreksjoner særskilte driftsforutsetninger" dataDxfId="21">
      <calculatedColumnFormula>IFERROR(SUMIF(K$4:K$20000,$U4,L$4:L$20000),0)</calculatedColumnFormula>
    </tableColumn>
    <tableColumn id="2" xr3:uid="{D4BD40F6-0DC9-4978-8088-DDADAA27E8D9}" name="Korreksjoner særskilte behov i barnegruppa" dataDxfId="20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19" headerRowBorderDxfId="18" tableBorderDxfId="17">
  <autoFilter ref="S3:T27" xr:uid="{6CD6B7CD-4EEA-4183-86E9-6A21652DA693}"/>
  <tableColumns count="2">
    <tableColumn id="1" xr3:uid="{72C6D349-F8C3-487E-96C4-3F0CC074D7D9}" name="Gruppering 211*" dataDxfId="16"/>
    <tableColumn id="2" xr3:uid="{4A3B9F4B-B4DB-4F8E-B6AB-E872BCC987C0}" name="Korrigert beløp som brukes i beregningen" dataDxfId="15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4">
  <autoFilter ref="A1:C133" xr:uid="{2807211C-5E34-4EEF-B333-14B6D947BF07}"/>
  <tableColumns count="3">
    <tableColumn id="1" xr3:uid="{F09C4606-A6D4-493E-90C3-FDFE2422BD92}" name="Virksomhetsnr." dataDxfId="13"/>
    <tableColumn id="2" xr3:uid="{8BCEF14A-CE93-4C1B-996E-23E218248C92}" name="Navn" dataDxfId="12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1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0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9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8.bin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1.xml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  <pageSetUpPr fitToPage="1"/>
  </sheetPr>
  <dimension ref="B1:G41"/>
  <sheetViews>
    <sheetView showGridLines="0" zoomScaleNormal="100" workbookViewId="0">
      <selection activeCell="K21" sqref="K21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7" ht="36" customHeight="1" x14ac:dyDescent="0.25">
      <c r="B1" s="330" t="s">
        <v>0</v>
      </c>
      <c r="C1" s="331"/>
      <c r="D1" s="331"/>
      <c r="E1" s="331"/>
    </row>
    <row r="2" spans="2:7" ht="15.95" customHeight="1" x14ac:dyDescent="0.25">
      <c r="B2" s="336" t="s">
        <v>730</v>
      </c>
      <c r="C2" s="331"/>
      <c r="D2" s="331"/>
      <c r="E2" s="331"/>
    </row>
    <row r="3" spans="2:7" ht="9.9499999999999993" customHeight="1" x14ac:dyDescent="0.25"/>
    <row r="4" spans="2:7" ht="20.100000000000001" customHeight="1" x14ac:dyDescent="0.25">
      <c r="B4" s="333" t="s">
        <v>1</v>
      </c>
      <c r="C4" s="331"/>
      <c r="D4" s="331"/>
      <c r="E4" s="331"/>
    </row>
    <row r="5" spans="2:7" ht="18" customHeight="1" x14ac:dyDescent="0.25">
      <c r="B5" s="1" t="s">
        <v>2</v>
      </c>
      <c r="C5" s="97">
        <v>1505</v>
      </c>
      <c r="D5" s="46" t="str">
        <f>_xlfn.XLOOKUP($C$5,arbgiveravg[Kommunenr.],arbgiveravg[Kommunenavn])</f>
        <v>Kristiansund</v>
      </c>
      <c r="E5" s="3" t="s">
        <v>3</v>
      </c>
    </row>
    <row r="6" spans="2:7" ht="18" customHeight="1" x14ac:dyDescent="0.25">
      <c r="B6" s="1" t="s">
        <v>698</v>
      </c>
      <c r="C6" s="2" t="s">
        <v>42</v>
      </c>
      <c r="D6" s="72"/>
      <c r="E6" s="3" t="s">
        <v>701</v>
      </c>
    </row>
    <row r="7" spans="2:7" ht="18" customHeight="1" x14ac:dyDescent="0.25">
      <c r="B7" s="1" t="s">
        <v>772</v>
      </c>
      <c r="C7" s="97">
        <v>2027</v>
      </c>
      <c r="E7" s="3" t="s">
        <v>4</v>
      </c>
    </row>
    <row r="8" spans="2:7" ht="18" customHeight="1" x14ac:dyDescent="0.25">
      <c r="B8" s="1" t="s">
        <v>775</v>
      </c>
      <c r="C8" s="98">
        <f>C7-1</f>
        <v>2026</v>
      </c>
      <c r="E8" s="3" t="s">
        <v>750</v>
      </c>
      <c r="F8" s="182" t="s">
        <v>751</v>
      </c>
    </row>
    <row r="9" spans="2:7" ht="18" customHeight="1" x14ac:dyDescent="0.25">
      <c r="B9" s="1" t="s">
        <v>774</v>
      </c>
      <c r="C9" s="98">
        <f>C7-2</f>
        <v>2025</v>
      </c>
      <c r="E9" s="3" t="s">
        <v>792</v>
      </c>
      <c r="F9" s="182" t="s">
        <v>752</v>
      </c>
    </row>
    <row r="10" spans="2:7" ht="18" customHeight="1" x14ac:dyDescent="0.25">
      <c r="B10" s="1" t="s">
        <v>773</v>
      </c>
      <c r="C10" s="98">
        <f>C7-3</f>
        <v>2024</v>
      </c>
      <c r="E10" s="3"/>
      <c r="F10" s="182"/>
      <c r="G10" s="178"/>
    </row>
    <row r="11" spans="2:7" ht="18" customHeight="1" x14ac:dyDescent="0.25">
      <c r="B11" s="1" t="s">
        <v>5</v>
      </c>
      <c r="C11" s="77">
        <f>_xlfn.XLOOKUP($C$5,arbgiveravg[Kommunenr.],arbgiveravg[Sats])</f>
        <v>0.14099999999999999</v>
      </c>
      <c r="E11" s="3" t="s">
        <v>6</v>
      </c>
      <c r="F11" s="182" t="s">
        <v>765</v>
      </c>
    </row>
    <row r="12" spans="2:7" ht="18" customHeight="1" x14ac:dyDescent="0.25">
      <c r="B12" s="1" t="s">
        <v>7</v>
      </c>
      <c r="C12" s="76">
        <v>4.7E-2</v>
      </c>
      <c r="E12" s="3" t="s">
        <v>8</v>
      </c>
      <c r="F12" s="182"/>
    </row>
    <row r="13" spans="2:7" ht="18" customHeight="1" x14ac:dyDescent="0.25">
      <c r="B13" s="1" t="str">
        <f>"Deflator " &amp;C8</f>
        <v>Deflator 2026</v>
      </c>
      <c r="C13" s="4">
        <v>3.5000000000000003E-2</v>
      </c>
      <c r="E13" s="3" t="s">
        <v>744</v>
      </c>
      <c r="F13" s="182" t="s">
        <v>780</v>
      </c>
    </row>
    <row r="14" spans="2:7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745</v>
      </c>
      <c r="F14" s="182" t="s">
        <v>769</v>
      </c>
    </row>
    <row r="15" spans="2:7" ht="33" customHeight="1" x14ac:dyDescent="0.25">
      <c r="B15" s="1" t="s">
        <v>9</v>
      </c>
      <c r="C15" s="2">
        <v>13200</v>
      </c>
      <c r="E15" s="3" t="s">
        <v>767</v>
      </c>
      <c r="F15" s="176" t="s">
        <v>768</v>
      </c>
      <c r="G15" t="s">
        <v>710</v>
      </c>
    </row>
    <row r="17" spans="2:7" ht="18" customHeight="1" x14ac:dyDescent="0.25">
      <c r="B17" s="1" t="s">
        <v>10</v>
      </c>
      <c r="C17" s="180">
        <f>'3a. Økonomirapport 201'!$S$33</f>
        <v>3853.8213019508235</v>
      </c>
      <c r="E17" s="3" t="s">
        <v>11</v>
      </c>
      <c r="G17" t="s">
        <v>12</v>
      </c>
    </row>
    <row r="19" spans="2:7" ht="9.9499999999999993" customHeight="1" x14ac:dyDescent="0.25"/>
    <row r="20" spans="2:7" ht="21.95" customHeight="1" x14ac:dyDescent="0.25">
      <c r="B20" s="340" t="s">
        <v>13</v>
      </c>
      <c r="C20" s="331"/>
      <c r="D20" s="331"/>
      <c r="E20" s="331"/>
    </row>
    <row r="21" spans="2:7" ht="36" customHeight="1" x14ac:dyDescent="0.25">
      <c r="B21" s="335" t="s">
        <v>14</v>
      </c>
      <c r="C21" s="331"/>
      <c r="D21" s="331"/>
      <c r="E21" s="331"/>
    </row>
    <row r="22" spans="2:7" ht="27.95" customHeight="1" x14ac:dyDescent="0.25">
      <c r="B22" s="5" t="s">
        <v>15</v>
      </c>
      <c r="C22" s="5" t="s">
        <v>16</v>
      </c>
      <c r="D22" s="5" t="s">
        <v>17</v>
      </c>
      <c r="E22" s="5" t="s">
        <v>711</v>
      </c>
    </row>
    <row r="23" spans="2:7" ht="48" x14ac:dyDescent="0.25">
      <c r="B23" s="6" t="s">
        <v>18</v>
      </c>
      <c r="C23" s="181">
        <v>0.05</v>
      </c>
      <c r="D23" s="96" t="s">
        <v>753</v>
      </c>
      <c r="E23" s="96" t="s">
        <v>754</v>
      </c>
    </row>
    <row r="24" spans="2:7" ht="36" x14ac:dyDescent="0.25">
      <c r="B24" s="6" t="s">
        <v>19</v>
      </c>
      <c r="C24" s="181">
        <v>0.08</v>
      </c>
      <c r="D24" s="96" t="s">
        <v>755</v>
      </c>
      <c r="E24" s="96" t="s">
        <v>756</v>
      </c>
    </row>
    <row r="25" spans="2:7" ht="36" x14ac:dyDescent="0.25">
      <c r="B25" s="6" t="s">
        <v>20</v>
      </c>
      <c r="C25" s="181">
        <v>0.11</v>
      </c>
      <c r="D25" s="96" t="s">
        <v>757</v>
      </c>
      <c r="E25" s="96" t="s">
        <v>758</v>
      </c>
    </row>
    <row r="27" spans="2:7" ht="9.9499999999999993" customHeight="1" x14ac:dyDescent="0.25"/>
    <row r="28" spans="2:7" ht="21.95" customHeight="1" x14ac:dyDescent="0.25">
      <c r="B28" s="339" t="s">
        <v>21</v>
      </c>
      <c r="C28" s="331"/>
      <c r="D28" s="331"/>
      <c r="E28" s="331"/>
    </row>
    <row r="29" spans="2:7" ht="32.1" customHeight="1" x14ac:dyDescent="0.25">
      <c r="B29" s="332" t="s">
        <v>22</v>
      </c>
      <c r="C29" s="331"/>
      <c r="D29" s="331"/>
      <c r="E29" s="331"/>
    </row>
    <row r="30" spans="2:7" ht="21.95" customHeight="1" x14ac:dyDescent="0.25">
      <c r="B30" s="8" t="s">
        <v>23</v>
      </c>
      <c r="C30" s="2">
        <v>15500</v>
      </c>
      <c r="E30" s="7" t="s">
        <v>778</v>
      </c>
      <c r="F30" s="176" t="s">
        <v>779</v>
      </c>
    </row>
    <row r="33" spans="2:5" ht="21.95" customHeight="1" x14ac:dyDescent="0.25">
      <c r="B33" s="338" t="s">
        <v>24</v>
      </c>
      <c r="C33" s="331"/>
      <c r="D33" s="331"/>
      <c r="E33" s="331"/>
    </row>
    <row r="34" spans="2:5" ht="20.100000000000001" customHeight="1" x14ac:dyDescent="0.25">
      <c r="B34" s="337" t="s">
        <v>776</v>
      </c>
      <c r="C34" s="331"/>
      <c r="D34" s="331"/>
      <c r="E34" s="331"/>
    </row>
    <row r="35" spans="2:5" ht="20.100000000000001" customHeight="1" x14ac:dyDescent="0.25">
      <c r="B35" s="331"/>
      <c r="C35" s="331"/>
      <c r="D35" s="331"/>
      <c r="E35" s="331"/>
    </row>
    <row r="36" spans="2:5" ht="20.100000000000001" customHeight="1" x14ac:dyDescent="0.25">
      <c r="B36" s="331"/>
      <c r="C36" s="331"/>
      <c r="D36" s="331"/>
      <c r="E36" s="331"/>
    </row>
    <row r="37" spans="2:5" ht="20.100000000000001" customHeight="1" x14ac:dyDescent="0.25">
      <c r="B37" s="331"/>
      <c r="C37" s="331"/>
      <c r="D37" s="331"/>
      <c r="E37" s="331"/>
    </row>
    <row r="39" spans="2:5" ht="9.9499999999999993" customHeight="1" x14ac:dyDescent="0.25"/>
    <row r="40" spans="2:5" ht="21.95" customHeight="1" x14ac:dyDescent="0.25">
      <c r="B40" s="333" t="s">
        <v>25</v>
      </c>
      <c r="C40" s="331"/>
      <c r="D40" s="331"/>
      <c r="E40" s="331"/>
    </row>
    <row r="41" spans="2:5" ht="44.1" customHeight="1" x14ac:dyDescent="0.25">
      <c r="B41" s="334" t="s">
        <v>26</v>
      </c>
      <c r="C41" s="331"/>
      <c r="D41" s="331"/>
      <c r="E41" s="331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pageSetup paperSize="9" scale="47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59" t="s">
        <v>738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spans="1:21" x14ac:dyDescent="0.25">
      <c r="A2" s="347" t="s">
        <v>785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</row>
    <row r="3" spans="1:21" ht="52.5" customHeight="1" x14ac:dyDescent="0.25">
      <c r="A3" s="357" t="s">
        <v>51</v>
      </c>
      <c r="B3" s="358"/>
      <c r="C3" s="358"/>
      <c r="D3" s="359"/>
      <c r="E3" s="354" t="s">
        <v>55</v>
      </c>
      <c r="F3" s="355"/>
      <c r="G3" s="355"/>
      <c r="H3" s="355"/>
      <c r="I3" s="356"/>
      <c r="J3" s="173"/>
      <c r="K3" s="60"/>
      <c r="L3" s="60"/>
      <c r="M3" s="353" t="s">
        <v>56</v>
      </c>
      <c r="N3" s="331"/>
      <c r="O3" s="16" t="s">
        <v>57</v>
      </c>
      <c r="P3" s="80" t="s">
        <v>704</v>
      </c>
      <c r="Q3" s="80" t="s">
        <v>705</v>
      </c>
      <c r="R3" s="80" t="s">
        <v>706</v>
      </c>
      <c r="S3" s="80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763</v>
      </c>
      <c r="E4" s="10" t="s">
        <v>731</v>
      </c>
      <c r="F4" s="10" t="s">
        <v>734</v>
      </c>
      <c r="G4" s="10" t="s">
        <v>732</v>
      </c>
      <c r="H4" s="10" t="s">
        <v>733</v>
      </c>
      <c r="I4" s="10" t="s">
        <v>60</v>
      </c>
      <c r="J4" s="5" t="s">
        <v>784</v>
      </c>
      <c r="K4" s="73" t="s">
        <v>703</v>
      </c>
      <c r="L4" s="5" t="s">
        <v>62</v>
      </c>
      <c r="M4" s="15" t="s">
        <v>762</v>
      </c>
      <c r="N4" s="74" t="s">
        <v>63</v>
      </c>
      <c r="O4" s="16" t="s">
        <v>64</v>
      </c>
      <c r="P4" s="80" t="s">
        <v>64</v>
      </c>
      <c r="Q4" s="80" t="s">
        <v>64</v>
      </c>
      <c r="R4" s="80" t="s">
        <v>64</v>
      </c>
      <c r="S4" s="80" t="s">
        <v>65</v>
      </c>
      <c r="T4" s="16" t="s">
        <v>65</v>
      </c>
      <c r="U4" s="9" t="s">
        <v>66</v>
      </c>
    </row>
    <row r="5" spans="1:21" x14ac:dyDescent="0.25">
      <c r="A5" s="154" cm="1">
        <f t="array" ref="A5">_xlfn.SEQUENCE(COUNTA(_xlfn.ANCHORARRAY(B5)),1,1,1)</f>
        <v>1</v>
      </c>
      <c r="B5" s="155" t="e" cm="1">
        <f t="array" ref="B5">_xlfn.ANCHORARRAY('X. Satser pensjonstilskudd'!B5)</f>
        <v>#REF!</v>
      </c>
      <c r="C5" s="156" t="e" cm="1">
        <f t="array" ref="C5">_xlfn.ANCHORARRAY('X. Satser pensjonstilskudd'!C5)</f>
        <v>#REF!</v>
      </c>
      <c r="D5" s="156" t="str" cm="1">
        <f t="array" ref="D5">IFERROR(_xlfn.XLOOKUP(CLEAN(TRIM(_xlfn.ANCHORARRAY($C5))),CLEAN(TRIM(factPensjon[Virksomhetsnr.])),factPensjon[Forpliktelser]),"")</f>
        <v/>
      </c>
      <c r="E5" s="14" cm="1">
        <f t="array" ref="E5">SUMIFS(BasilRadata[Heltidsplasser
0-2],BasilRadata[År],'0. Oppsett'!$C$9,BasilRadata[1B. Organisasjonsnummer:],_xlfn.ANCHORARRAY($C5))</f>
        <v>0</v>
      </c>
      <c r="F5" s="18" t="e" cm="1">
        <f t="array" ref="F5">IF(_xlfn.ANCHORARRAY(B5)&lt;&gt;"",'4. Selvkost og satser'!$B$61,"")</f>
        <v>#REF!</v>
      </c>
      <c r="G5" s="14" cm="1">
        <f t="array" ref="G5">SUMIFS(BasilRadata[Heltidsplasser
3-6],BasilRadata[År],'0. Oppsett'!$C$9,BasilRadata[1B. Organisasjonsnummer:],_xlfn.ANCHORARRAY($C5))</f>
        <v>0</v>
      </c>
      <c r="H5" s="18" t="e" cm="1">
        <f t="array" ref="H5">IF(_xlfn.ANCHORARRAY(B5)&lt;&gt;"",'4. Selvkost og satser'!$B$62,"")</f>
        <v>#REF!</v>
      </c>
      <c r="I5" s="18" t="e" cm="1">
        <f t="array" ref="I5">_xlfn.ANCHORARRAY(E5)*_xlfn.ANCHORARRAY(F5)+_xlfn.ANCHORARRAY(G5)*_xlfn.ANCHORARRAY(H5)</f>
        <v>#REF!</v>
      </c>
      <c r="J5" s="61" cm="1">
        <f t="array" ref="J5">SUMIFS(BasilRadata[8E. Oppgi antall årsverk barnehagen har pensjonsforpliktelser for:],'1. BASIL-rådata'!$I$3:$I$34,_xlfn.ANCHORARRAY('X. Satser pensjonstilskudd'!$C5),BasilRadata[År],'0. Oppsett'!$C$9)</f>
        <v>0</v>
      </c>
      <c r="K5" s="61" t="e" cm="1">
        <f t="array" ref="K5">_xlfn.XLOOKUP(_xlfn.ANCHORARRAY($C5),'X. Satser pensjonstilskudd'!$C$5:$C$20,'X. Satser pensjonstilskudd'!$I$5:$I$20)</f>
        <v>#REF!</v>
      </c>
      <c r="L5" s="61" t="e" cm="1">
        <f t="array" ref="L5">_xlfn.ANCHORARRAY(K5)*_xlfn.ANCHORARRAY(J5)</f>
        <v>#REF!</v>
      </c>
      <c r="M5" s="159" cm="1">
        <f t="array" ref="M5">_xlfn.ANCHORARRAY(E5)+_xlfn.ANCHORARRAY(G5)</f>
        <v>0</v>
      </c>
      <c r="N5" s="205" cm="1">
        <f t="array" ref="N5">IFERROR(_xlfn.ANCHORARRAY(M5)*'0. Oppsett'!$C$30,0)</f>
        <v>0</v>
      </c>
      <c r="O5" s="20">
        <v>0</v>
      </c>
      <c r="P5" s="81"/>
      <c r="Q5" s="81"/>
      <c r="R5" s="81"/>
      <c r="S5" s="81">
        <v>0</v>
      </c>
      <c r="T5" s="20">
        <v>0</v>
      </c>
      <c r="U5" s="161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54"/>
      <c r="B6" s="155"/>
      <c r="C6" s="156"/>
      <c r="D6" s="155"/>
      <c r="E6" s="14"/>
      <c r="F6" s="18"/>
      <c r="G6" s="14"/>
      <c r="H6" s="18"/>
      <c r="I6" s="158"/>
      <c r="J6" s="157"/>
      <c r="K6" s="157"/>
      <c r="L6" s="61"/>
      <c r="M6" s="159"/>
      <c r="N6" s="160"/>
      <c r="O6" s="20">
        <v>0</v>
      </c>
      <c r="P6" s="81"/>
      <c r="Q6" s="81"/>
      <c r="R6" s="81"/>
      <c r="S6" s="81">
        <v>0</v>
      </c>
      <c r="T6" s="20">
        <v>0</v>
      </c>
      <c r="U6" s="161"/>
    </row>
    <row r="7" spans="1:21" x14ac:dyDescent="0.25">
      <c r="A7" s="154"/>
      <c r="B7" s="155"/>
      <c r="C7" s="156"/>
      <c r="D7" s="156"/>
      <c r="E7" s="14"/>
      <c r="F7" s="18"/>
      <c r="G7" s="14"/>
      <c r="H7" s="18"/>
      <c r="I7" s="158"/>
      <c r="J7" s="157"/>
      <c r="K7" s="157"/>
      <c r="L7" s="61"/>
      <c r="M7" s="159"/>
      <c r="N7" s="160"/>
      <c r="O7" s="20">
        <v>0</v>
      </c>
      <c r="P7" s="81"/>
      <c r="Q7" s="81"/>
      <c r="R7" s="81"/>
      <c r="S7" s="81">
        <v>0</v>
      </c>
      <c r="T7" s="20">
        <v>0</v>
      </c>
      <c r="U7" s="161"/>
    </row>
    <row r="8" spans="1:21" x14ac:dyDescent="0.25">
      <c r="A8" s="154"/>
      <c r="B8" s="155"/>
      <c r="C8" s="156"/>
      <c r="D8" s="156"/>
      <c r="E8" s="14"/>
      <c r="F8" s="18"/>
      <c r="G8" s="14"/>
      <c r="H8" s="18"/>
      <c r="I8" s="158"/>
      <c r="J8" s="157"/>
      <c r="K8" s="157"/>
      <c r="L8" s="61"/>
      <c r="M8" s="159"/>
      <c r="N8" s="160"/>
      <c r="O8" s="20">
        <v>0</v>
      </c>
      <c r="P8" s="81"/>
      <c r="Q8" s="81"/>
      <c r="R8" s="81"/>
      <c r="S8" s="81">
        <v>0</v>
      </c>
      <c r="T8" s="20">
        <v>0</v>
      </c>
      <c r="U8" s="161"/>
    </row>
    <row r="9" spans="1:21" x14ac:dyDescent="0.25">
      <c r="A9" s="154"/>
      <c r="B9" s="155"/>
      <c r="C9" s="156"/>
      <c r="D9" s="156"/>
      <c r="E9" s="14"/>
      <c r="F9" s="18"/>
      <c r="G9" s="14"/>
      <c r="H9" s="18"/>
      <c r="I9" s="158"/>
      <c r="J9" s="157"/>
      <c r="K9" s="157"/>
      <c r="L9" s="61"/>
      <c r="M9" s="159"/>
      <c r="N9" s="160"/>
      <c r="O9" s="20">
        <v>0</v>
      </c>
      <c r="P9" s="81"/>
      <c r="Q9" s="81"/>
      <c r="R9" s="81"/>
      <c r="S9" s="81">
        <v>0</v>
      </c>
      <c r="T9" s="20">
        <v>0</v>
      </c>
      <c r="U9" s="161"/>
    </row>
    <row r="10" spans="1:21" x14ac:dyDescent="0.25">
      <c r="A10" s="154"/>
      <c r="B10" s="155"/>
      <c r="C10" s="156"/>
      <c r="D10" s="156"/>
      <c r="E10" s="14"/>
      <c r="F10" s="18"/>
      <c r="G10" s="14"/>
      <c r="H10" s="18"/>
      <c r="I10" s="158"/>
      <c r="J10" s="157"/>
      <c r="K10" s="157"/>
      <c r="L10" s="61"/>
      <c r="M10" s="159"/>
      <c r="N10" s="160"/>
      <c r="O10" s="20">
        <v>0</v>
      </c>
      <c r="P10" s="81"/>
      <c r="Q10" s="81"/>
      <c r="R10" s="81"/>
      <c r="S10" s="81">
        <v>0</v>
      </c>
      <c r="T10" s="20">
        <v>0</v>
      </c>
      <c r="U10" s="161"/>
    </row>
    <row r="590" spans="5:21" ht="15.75" thickBot="1" x14ac:dyDescent="0.3">
      <c r="E590" s="24">
        <f t="shared" ref="E590:M590" si="0">SUM(E5:E224)</f>
        <v>0</v>
      </c>
      <c r="F590" s="24"/>
      <c r="G590" s="24">
        <f t="shared" si="0"/>
        <v>0</v>
      </c>
      <c r="H590" s="24"/>
      <c r="I590" s="24" t="e">
        <f t="shared" si="0"/>
        <v>#REF!</v>
      </c>
      <c r="J590" s="24">
        <f t="shared" si="0"/>
        <v>0</v>
      </c>
      <c r="K590" s="24" t="e">
        <f t="shared" si="0"/>
        <v>#REF!</v>
      </c>
      <c r="L590" s="24" t="e">
        <f t="shared" si="0"/>
        <v>#REF!</v>
      </c>
      <c r="M590" s="24">
        <f t="shared" si="0"/>
        <v>0</v>
      </c>
      <c r="N590" s="24">
        <f t="shared" ref="N590:T590" si="1">SUM(N5:N224)</f>
        <v>0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10"/>
  <sheetViews>
    <sheetView workbookViewId="0">
      <selection activeCell="J5" sqref="J5"/>
    </sheetView>
  </sheetViews>
  <sheetFormatPr baseColWidth="10" defaultColWidth="11.42578125" defaultRowHeight="15" x14ac:dyDescent="0.25"/>
  <cols>
    <col min="2" max="2" width="24.42578125" customWidth="1"/>
    <col min="12" max="12" width="13.28515625" customWidth="1"/>
  </cols>
  <sheetData>
    <row r="1" spans="1:21" x14ac:dyDescent="0.25">
      <c r="A1" s="59" t="s">
        <v>771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</row>
    <row r="2" spans="1:21" ht="14.45" customHeight="1" x14ac:dyDescent="0.25">
      <c r="A2" s="78" t="s">
        <v>749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82" t="s">
        <v>720</v>
      </c>
      <c r="P2" s="79"/>
      <c r="Q2" s="79"/>
      <c r="R2" s="79"/>
      <c r="S2" s="79"/>
      <c r="T2" s="79"/>
      <c r="U2" s="79"/>
    </row>
    <row r="3" spans="1:21" ht="56.25" x14ac:dyDescent="0.25">
      <c r="A3" s="349" t="s">
        <v>51</v>
      </c>
      <c r="B3" s="349"/>
      <c r="C3" s="349"/>
      <c r="D3" s="166"/>
      <c r="E3" s="58" t="s">
        <v>55</v>
      </c>
      <c r="F3" s="167"/>
      <c r="G3" s="167"/>
      <c r="H3" s="167"/>
      <c r="I3" s="167"/>
      <c r="J3" s="173">
        <f>'0. Oppsett'!C7-1</f>
        <v>2026</v>
      </c>
      <c r="K3" s="60"/>
      <c r="L3" s="60"/>
      <c r="M3" s="353" t="s">
        <v>56</v>
      </c>
      <c r="N3" s="353"/>
      <c r="O3" s="16" t="s">
        <v>57</v>
      </c>
      <c r="P3" s="16" t="s">
        <v>704</v>
      </c>
      <c r="Q3" s="16" t="s">
        <v>705</v>
      </c>
      <c r="R3" s="16" t="s">
        <v>706</v>
      </c>
      <c r="S3" s="16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763</v>
      </c>
      <c r="E4" s="10" t="s">
        <v>731</v>
      </c>
      <c r="F4" s="10" t="s">
        <v>734</v>
      </c>
      <c r="G4" s="10" t="s">
        <v>732</v>
      </c>
      <c r="H4" s="10" t="s">
        <v>733</v>
      </c>
      <c r="I4" s="94" t="s">
        <v>60</v>
      </c>
      <c r="J4" s="95" t="s">
        <v>61</v>
      </c>
      <c r="K4" s="95" t="s">
        <v>703</v>
      </c>
      <c r="L4" s="5" t="s">
        <v>62</v>
      </c>
      <c r="M4" s="15" t="s">
        <v>762</v>
      </c>
      <c r="N4" s="15" t="s">
        <v>63</v>
      </c>
      <c r="O4" s="16" t="s">
        <v>64</v>
      </c>
      <c r="P4" s="16" t="s">
        <v>64</v>
      </c>
      <c r="Q4" s="16" t="s">
        <v>64</v>
      </c>
      <c r="R4" s="16" t="s">
        <v>64</v>
      </c>
      <c r="S4" s="16" t="s">
        <v>65</v>
      </c>
      <c r="T4" s="16" t="s">
        <v>65</v>
      </c>
      <c r="U4" s="9" t="s">
        <v>66</v>
      </c>
    </row>
    <row r="5" spans="1:21" x14ac:dyDescent="0.25">
      <c r="A5" s="206" cm="1">
        <f t="array" ref="A5">_xlfn.SEQUENCE(COUNTA(_xlfn.ANCHORARRAY(B5)),1,1,1)</f>
        <v>1</v>
      </c>
      <c r="B5" s="207" t="e" cm="1">
        <f t="array" ref="B5">_xlfn.ANCHORARRAY('X. Satser pensjonstilskudd'!B5)</f>
        <v>#REF!</v>
      </c>
      <c r="C5" s="208" t="e" cm="1">
        <f t="array" ref="C5">_xlfn.ANCHORARRAY('X. Satser pensjonstilskudd'!C5)</f>
        <v>#REF!</v>
      </c>
      <c r="D5" s="212" t="str" cm="1">
        <f t="array" ref="D5">IFERROR(_xlfn.XLOOKUP(CLEAN(TRIM(_xlfn.ANCHORARRAY($C5))),CLEAN(TRIM(factPensjon[Virksomhetsnr.])),factPensjon[Forpliktelser]),"")</f>
        <v/>
      </c>
      <c r="E5" s="209" cm="1">
        <f t="array" ref="E5">SUMIFS(BasilRadata[Heltidsplasser
0-2],BasilRadata[År],'0. Oppsett'!$C$7-1,BasilRadata[1B. Organisasjonsnummer:],_xlfn.ANCHORARRAY($C5))</f>
        <v>0</v>
      </c>
      <c r="F5" s="18" t="e" cm="1">
        <f t="array" ref="F5">IF(_xlfn.ANCHORARRAY(B5)&lt;&gt;"",'4. Selvkost og satser'!$B$61,"")</f>
        <v>#REF!</v>
      </c>
      <c r="G5" s="209" cm="1">
        <f t="array" ref="G5">SUMIFS(BasilRadata[Heltidsplasser
3-6],BasilRadata[År],'0. Oppsett'!$C$7-1,BasilRadata[1B. Organisasjonsnummer:],_xlfn.ANCHORARRAY($C5))</f>
        <v>0</v>
      </c>
      <c r="H5" s="210" t="e" cm="1">
        <f t="array" ref="H5">IF(_xlfn.ANCHORARRAY(B5)&lt;&gt;"",'4. Selvkost og satser'!$B$62,"")</f>
        <v>#REF!</v>
      </c>
      <c r="I5" s="210" t="e" cm="1">
        <f t="array" ref="I5">_xlfn.ANCHORARRAY(E5)*_xlfn.ANCHORARRAY(F5)+_xlfn.ANCHORARRAY(G5)*_xlfn.ANCHORARRAY(H5)</f>
        <v>#REF!</v>
      </c>
      <c r="J5" s="61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61" t="e" cm="1">
        <f t="array" ref="K5">_xlfn.XLOOKUP(_xlfn.ANCHORARRAY($C5),'X. Satser pensjonstilskudd'!$C$5:$C$20,'X. Satser pensjonstilskudd'!$I$5:$I$20)</f>
        <v>#REF!</v>
      </c>
      <c r="L5" s="61" t="e" cm="1">
        <f t="array" ref="L5">_xlfn.ANCHORARRAY(K5)*_xlfn.ANCHORARRAY(J5)</f>
        <v>#REF!</v>
      </c>
      <c r="M5" s="159" t="e" cm="1">
        <f t="array" ref="M5">IF(_xlfn.ANCHORARRAY(B5)&lt;&gt;"",E5+G5,"")</f>
        <v>#REF!</v>
      </c>
      <c r="N5" s="205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164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2"/>
      <c r="B6" s="86"/>
      <c r="C6" s="13"/>
      <c r="D6" s="211"/>
      <c r="E6" s="85"/>
      <c r="F6" s="18"/>
      <c r="G6" s="85"/>
      <c r="H6" s="92"/>
      <c r="I6" s="92"/>
      <c r="J6" s="61"/>
      <c r="K6" s="61"/>
      <c r="L6" s="93"/>
      <c r="M6" s="162"/>
      <c r="N6" s="205"/>
      <c r="O6" s="20">
        <v>0</v>
      </c>
      <c r="P6" s="20"/>
      <c r="Q6" s="20"/>
      <c r="R6" s="20"/>
      <c r="S6" s="20">
        <v>0</v>
      </c>
      <c r="T6" s="20"/>
      <c r="U6" s="164"/>
    </row>
    <row r="7" spans="1:21" x14ac:dyDescent="0.25">
      <c r="A7" s="12"/>
      <c r="B7" s="86"/>
      <c r="C7" s="13"/>
      <c r="D7" s="13"/>
      <c r="E7" s="85"/>
      <c r="F7" s="18"/>
      <c r="G7" s="85"/>
      <c r="H7" s="92"/>
      <c r="I7" s="92"/>
      <c r="J7" s="61"/>
      <c r="K7" s="61"/>
      <c r="L7" s="93"/>
      <c r="M7" s="163"/>
      <c r="N7" s="205"/>
      <c r="O7" s="20">
        <v>0</v>
      </c>
      <c r="P7" s="20"/>
      <c r="Q7" s="20"/>
      <c r="R7" s="20"/>
      <c r="S7" s="20">
        <v>0</v>
      </c>
      <c r="T7" s="20"/>
      <c r="U7" s="164"/>
    </row>
    <row r="8" spans="1:21" x14ac:dyDescent="0.25">
      <c r="A8" s="12"/>
      <c r="B8" s="86"/>
      <c r="C8" s="13"/>
      <c r="D8" s="13"/>
      <c r="E8" s="85"/>
      <c r="F8" s="18"/>
      <c r="G8" s="85"/>
      <c r="H8" s="92"/>
      <c r="I8" s="92"/>
      <c r="J8" s="61"/>
      <c r="K8" s="61"/>
      <c r="L8" s="93"/>
      <c r="M8" s="163"/>
      <c r="N8" s="205"/>
      <c r="O8" s="20">
        <v>0</v>
      </c>
      <c r="P8" s="20"/>
      <c r="Q8" s="20"/>
      <c r="R8" s="20"/>
      <c r="S8" s="20">
        <v>0</v>
      </c>
      <c r="T8" s="20"/>
      <c r="U8" s="164"/>
    </row>
    <row r="9" spans="1:21" x14ac:dyDescent="0.25">
      <c r="A9" s="12"/>
      <c r="B9" s="86"/>
      <c r="C9" s="13"/>
      <c r="D9" s="13"/>
      <c r="E9" s="85"/>
      <c r="F9" s="18"/>
      <c r="G9" s="85"/>
      <c r="H9" s="92"/>
      <c r="I9" s="92"/>
      <c r="J9" s="61"/>
      <c r="K9" s="61"/>
      <c r="L9" s="93"/>
      <c r="M9" s="163"/>
      <c r="N9" s="205"/>
      <c r="O9" s="20">
        <v>0</v>
      </c>
      <c r="P9" s="20"/>
      <c r="Q9" s="20"/>
      <c r="R9" s="20"/>
      <c r="S9" s="20">
        <v>0</v>
      </c>
      <c r="T9" s="20"/>
      <c r="U9" s="164"/>
    </row>
    <row r="10" spans="1:21" x14ac:dyDescent="0.25">
      <c r="A10" s="12"/>
      <c r="B10" s="86"/>
      <c r="C10" s="13"/>
      <c r="D10" s="13"/>
      <c r="E10" s="85"/>
      <c r="F10" s="18"/>
      <c r="G10" s="85"/>
      <c r="H10" s="92"/>
      <c r="I10" s="92"/>
      <c r="J10" s="61"/>
      <c r="K10" s="61"/>
      <c r="L10" s="93"/>
      <c r="M10" s="163"/>
      <c r="N10" s="205"/>
      <c r="O10" s="20">
        <v>0</v>
      </c>
      <c r="P10" s="20"/>
      <c r="Q10" s="20"/>
      <c r="R10" s="20"/>
      <c r="S10" s="20">
        <v>0</v>
      </c>
      <c r="T10" s="20"/>
      <c r="U10" s="164"/>
    </row>
  </sheetData>
  <mergeCells count="2">
    <mergeCell ref="A3:C3"/>
    <mergeCell ref="M3:N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26989-2A87-4A5B-B074-D37A92E8DE1A}">
  <sheetPr>
    <tabColor rgb="FFFF0000"/>
  </sheetPr>
  <dimension ref="A1:J101"/>
  <sheetViews>
    <sheetView tabSelected="1" workbookViewId="0">
      <selection activeCell="K45" sqref="K45"/>
    </sheetView>
  </sheetViews>
  <sheetFormatPr baseColWidth="10" defaultRowHeight="15" x14ac:dyDescent="0.25"/>
  <cols>
    <col min="1" max="2" width="11.42578125" style="289"/>
    <col min="3" max="3" width="60.140625" style="289" bestFit="1" customWidth="1"/>
    <col min="4" max="7" width="11.42578125" style="289"/>
    <col min="8" max="8" width="14" style="290" customWidth="1"/>
    <col min="9" max="9" width="39.85546875" style="289" customWidth="1"/>
    <col min="10" max="10" width="38.5703125" style="289" bestFit="1" customWidth="1"/>
    <col min="11" max="16384" width="11.42578125" style="289"/>
  </cols>
  <sheetData>
    <row r="1" spans="1:9" x14ac:dyDescent="0.25">
      <c r="A1" s="289" t="s">
        <v>1097</v>
      </c>
      <c r="B1" s="289" t="s">
        <v>1098</v>
      </c>
      <c r="C1" s="289" t="s">
        <v>1099</v>
      </c>
      <c r="D1" s="289" t="s">
        <v>78</v>
      </c>
      <c r="E1" s="289" t="s">
        <v>74</v>
      </c>
      <c r="F1" s="289" t="s">
        <v>76</v>
      </c>
      <c r="G1" s="289" t="s">
        <v>1100</v>
      </c>
      <c r="H1" s="290" t="s">
        <v>1101</v>
      </c>
    </row>
    <row r="2" spans="1:9" x14ac:dyDescent="0.25">
      <c r="A2" s="289">
        <v>1</v>
      </c>
      <c r="B2" s="289">
        <v>20140</v>
      </c>
      <c r="C2" s="289" t="s">
        <v>1102</v>
      </c>
      <c r="D2" s="289">
        <v>17000</v>
      </c>
      <c r="E2" s="289">
        <v>2360</v>
      </c>
      <c r="F2" s="289">
        <v>2010</v>
      </c>
      <c r="H2" s="290">
        <v>-25998</v>
      </c>
    </row>
    <row r="3" spans="1:9" x14ac:dyDescent="0.25">
      <c r="A3" s="289">
        <v>3</v>
      </c>
      <c r="B3" s="289">
        <v>20537</v>
      </c>
      <c r="C3" s="289" t="s">
        <v>1103</v>
      </c>
      <c r="D3" s="289">
        <v>17000</v>
      </c>
      <c r="E3" s="289">
        <v>2320</v>
      </c>
      <c r="F3" s="289">
        <v>2010</v>
      </c>
      <c r="H3" s="290">
        <v>-45937</v>
      </c>
      <c r="I3" s="307"/>
    </row>
    <row r="4" spans="1:9" x14ac:dyDescent="0.25">
      <c r="A4" s="289">
        <v>3</v>
      </c>
      <c r="B4" s="289">
        <v>20537</v>
      </c>
      <c r="C4" s="289" t="s">
        <v>1104</v>
      </c>
      <c r="D4" s="289">
        <v>17000</v>
      </c>
      <c r="E4" s="289">
        <v>2330</v>
      </c>
      <c r="F4" s="289">
        <v>2010</v>
      </c>
      <c r="H4" s="290">
        <v>-31743</v>
      </c>
    </row>
    <row r="5" spans="1:9" x14ac:dyDescent="0.25">
      <c r="A5" s="289">
        <v>5</v>
      </c>
      <c r="B5" s="289">
        <v>20776</v>
      </c>
      <c r="C5" s="289" t="s">
        <v>1108</v>
      </c>
      <c r="D5" s="289">
        <v>17000</v>
      </c>
      <c r="E5" s="289">
        <v>2330</v>
      </c>
      <c r="F5" s="289">
        <v>2010</v>
      </c>
      <c r="H5" s="290">
        <v>-48550</v>
      </c>
      <c r="I5" s="307"/>
    </row>
    <row r="6" spans="1:9" x14ac:dyDescent="0.25">
      <c r="A6" s="289">
        <v>6</v>
      </c>
      <c r="B6" s="289">
        <v>20871</v>
      </c>
      <c r="C6" s="289" t="s">
        <v>1110</v>
      </c>
      <c r="D6" s="289">
        <v>17000</v>
      </c>
      <c r="E6" s="289">
        <v>2360</v>
      </c>
      <c r="F6" s="289">
        <v>2010</v>
      </c>
      <c r="H6" s="290">
        <v>-2139</v>
      </c>
    </row>
    <row r="7" spans="1:9" x14ac:dyDescent="0.25">
      <c r="A7" s="289">
        <v>11</v>
      </c>
      <c r="B7" s="289">
        <v>22141</v>
      </c>
      <c r="C7" s="289" t="s">
        <v>1122</v>
      </c>
      <c r="D7" s="289">
        <v>17000</v>
      </c>
      <c r="E7" s="289">
        <v>2330</v>
      </c>
      <c r="F7" s="289">
        <v>2010</v>
      </c>
      <c r="H7" s="290">
        <v>-48957</v>
      </c>
    </row>
    <row r="8" spans="1:9" x14ac:dyDescent="0.25">
      <c r="A8" s="289">
        <v>4</v>
      </c>
      <c r="B8" s="289">
        <v>20636</v>
      </c>
      <c r="C8" s="289" t="s">
        <v>1106</v>
      </c>
      <c r="D8" s="289">
        <v>17000</v>
      </c>
      <c r="E8" s="289">
        <v>2360</v>
      </c>
      <c r="F8" s="289">
        <v>2010</v>
      </c>
      <c r="H8" s="290">
        <v>-34685</v>
      </c>
    </row>
    <row r="9" spans="1:9" x14ac:dyDescent="0.25">
      <c r="H9" s="306">
        <f>SUM(H2:H8)</f>
        <v>-238009</v>
      </c>
      <c r="I9" s="325" t="s">
        <v>1214</v>
      </c>
    </row>
    <row r="11" spans="1:9" x14ac:dyDescent="0.25">
      <c r="A11" s="289">
        <v>5</v>
      </c>
      <c r="B11" s="289">
        <v>20703</v>
      </c>
      <c r="C11" s="289" t="s">
        <v>1107</v>
      </c>
      <c r="D11" s="289">
        <v>17000</v>
      </c>
      <c r="E11" s="289">
        <v>2330</v>
      </c>
      <c r="F11" s="289">
        <v>2010</v>
      </c>
      <c r="H11" s="295">
        <v>-288729</v>
      </c>
    </row>
    <row r="12" spans="1:9" x14ac:dyDescent="0.25">
      <c r="A12" s="289">
        <v>5</v>
      </c>
      <c r="B12" s="289">
        <v>20703</v>
      </c>
      <c r="C12" s="289" t="s">
        <v>1107</v>
      </c>
      <c r="D12" s="289">
        <v>17000</v>
      </c>
      <c r="E12" s="289">
        <v>2320</v>
      </c>
      <c r="F12" s="289">
        <v>2010</v>
      </c>
      <c r="H12" s="295">
        <v>-201595</v>
      </c>
    </row>
    <row r="13" spans="1:9" x14ac:dyDescent="0.25">
      <c r="A13" s="289">
        <v>5</v>
      </c>
      <c r="B13" s="289">
        <v>20703</v>
      </c>
      <c r="C13" s="289" t="s">
        <v>1107</v>
      </c>
      <c r="D13" s="289">
        <v>17000</v>
      </c>
      <c r="E13" s="289">
        <v>2360</v>
      </c>
      <c r="F13" s="289">
        <v>2010</v>
      </c>
      <c r="H13" s="295">
        <v>-327853</v>
      </c>
    </row>
    <row r="14" spans="1:9" x14ac:dyDescent="0.25">
      <c r="A14" s="289">
        <v>5</v>
      </c>
      <c r="B14" s="289">
        <v>20703</v>
      </c>
      <c r="C14" s="289" t="s">
        <v>1107</v>
      </c>
      <c r="D14" s="289">
        <v>17000</v>
      </c>
      <c r="E14" s="289">
        <v>2315</v>
      </c>
      <c r="F14" s="289">
        <v>2010</v>
      </c>
      <c r="H14" s="295">
        <v>-439552</v>
      </c>
    </row>
    <row r="15" spans="1:9" x14ac:dyDescent="0.25">
      <c r="A15" s="289">
        <v>5</v>
      </c>
      <c r="B15" s="289">
        <v>20703</v>
      </c>
      <c r="C15" s="289" t="s">
        <v>1107</v>
      </c>
      <c r="D15" s="289">
        <v>17000</v>
      </c>
      <c r="E15" s="289">
        <v>2355</v>
      </c>
      <c r="F15" s="289">
        <v>2010</v>
      </c>
      <c r="H15" s="295">
        <v>-272153</v>
      </c>
    </row>
    <row r="16" spans="1:9" x14ac:dyDescent="0.25">
      <c r="A16" s="289">
        <v>5</v>
      </c>
      <c r="B16" s="289">
        <v>20703</v>
      </c>
      <c r="C16" s="289" t="s">
        <v>1107</v>
      </c>
      <c r="D16" s="289">
        <v>17000</v>
      </c>
      <c r="E16" s="289">
        <v>2300</v>
      </c>
      <c r="F16" s="289">
        <v>2010</v>
      </c>
      <c r="H16" s="295">
        <v>1529882</v>
      </c>
      <c r="I16" s="325" t="s">
        <v>1214</v>
      </c>
    </row>
    <row r="18" spans="1:9" x14ac:dyDescent="0.25">
      <c r="A18" s="289">
        <v>6</v>
      </c>
      <c r="B18" s="289">
        <v>20930</v>
      </c>
      <c r="C18" s="289" t="s">
        <v>1111</v>
      </c>
      <c r="D18" s="289">
        <v>17000</v>
      </c>
      <c r="E18" s="289">
        <v>2300</v>
      </c>
      <c r="F18" s="289">
        <v>2010</v>
      </c>
      <c r="H18" s="303">
        <v>-302800</v>
      </c>
    </row>
    <row r="19" spans="1:9" x14ac:dyDescent="0.25">
      <c r="A19" s="289">
        <v>6</v>
      </c>
      <c r="B19" s="289">
        <v>116935</v>
      </c>
      <c r="C19" s="289" t="s">
        <v>1112</v>
      </c>
      <c r="D19" s="289">
        <v>17000</v>
      </c>
      <c r="E19" s="289">
        <v>2300</v>
      </c>
      <c r="F19" s="289">
        <v>2010</v>
      </c>
      <c r="H19" s="303">
        <v>50000</v>
      </c>
    </row>
    <row r="20" spans="1:9" x14ac:dyDescent="0.25">
      <c r="A20" s="289">
        <v>6</v>
      </c>
      <c r="B20" s="289">
        <v>116937</v>
      </c>
      <c r="C20" s="289" t="s">
        <v>1113</v>
      </c>
      <c r="D20" s="289">
        <v>17000</v>
      </c>
      <c r="E20" s="289">
        <v>2300</v>
      </c>
      <c r="F20" s="289">
        <v>2010</v>
      </c>
      <c r="H20" s="303">
        <v>50000</v>
      </c>
      <c r="I20" s="307"/>
    </row>
    <row r="21" spans="1:9" x14ac:dyDescent="0.25">
      <c r="A21" s="289">
        <v>6</v>
      </c>
      <c r="B21" s="289">
        <v>116938</v>
      </c>
      <c r="C21" s="289" t="s">
        <v>1114</v>
      </c>
      <c r="D21" s="289">
        <v>17000</v>
      </c>
      <c r="E21" s="289">
        <v>2300</v>
      </c>
      <c r="F21" s="289">
        <v>2010</v>
      </c>
      <c r="H21" s="303">
        <v>50000</v>
      </c>
    </row>
    <row r="22" spans="1:9" x14ac:dyDescent="0.25">
      <c r="A22" s="289">
        <v>6</v>
      </c>
      <c r="B22" s="289">
        <v>20840</v>
      </c>
      <c r="C22" s="289" t="s">
        <v>1109</v>
      </c>
      <c r="D22" s="289">
        <v>17000</v>
      </c>
      <c r="E22" s="289">
        <v>2300</v>
      </c>
      <c r="F22" s="289">
        <v>2010</v>
      </c>
      <c r="H22" s="303">
        <v>152800</v>
      </c>
      <c r="I22" s="325" t="s">
        <v>1214</v>
      </c>
    </row>
    <row r="23" spans="1:9" x14ac:dyDescent="0.25">
      <c r="A23" s="289">
        <v>6</v>
      </c>
      <c r="B23" s="289">
        <v>20840</v>
      </c>
      <c r="C23" s="289" t="s">
        <v>1109</v>
      </c>
      <c r="D23" s="289">
        <v>17000</v>
      </c>
      <c r="E23" s="289">
        <v>2360</v>
      </c>
      <c r="F23" s="289">
        <v>2010</v>
      </c>
      <c r="H23" s="303">
        <v>-52800</v>
      </c>
      <c r="I23" s="307"/>
    </row>
    <row r="24" spans="1:9" x14ac:dyDescent="0.25">
      <c r="A24" s="289">
        <v>6</v>
      </c>
      <c r="B24" s="289">
        <v>20840</v>
      </c>
      <c r="C24" s="289" t="s">
        <v>1109</v>
      </c>
      <c r="D24" s="289">
        <v>17000</v>
      </c>
      <c r="E24" s="289">
        <v>2355</v>
      </c>
      <c r="F24" s="289">
        <v>2010</v>
      </c>
      <c r="H24" s="303">
        <v>-50000</v>
      </c>
    </row>
    <row r="25" spans="1:9" x14ac:dyDescent="0.25">
      <c r="A25" s="289">
        <v>6</v>
      </c>
      <c r="B25" s="289">
        <v>20840</v>
      </c>
      <c r="C25" s="289" t="s">
        <v>1109</v>
      </c>
      <c r="D25" s="289">
        <v>17000</v>
      </c>
      <c r="E25" s="289">
        <v>2315</v>
      </c>
      <c r="F25" s="289">
        <v>2010</v>
      </c>
      <c r="H25" s="303">
        <v>-50000</v>
      </c>
    </row>
    <row r="27" spans="1:9" x14ac:dyDescent="0.25">
      <c r="A27" s="289">
        <v>11</v>
      </c>
      <c r="B27" s="289">
        <v>22033</v>
      </c>
      <c r="C27" s="289" t="s">
        <v>1120</v>
      </c>
      <c r="D27" s="289">
        <v>17000</v>
      </c>
      <c r="E27" s="289">
        <v>2300</v>
      </c>
      <c r="F27" s="289">
        <v>2010</v>
      </c>
      <c r="H27" s="300">
        <v>-120000</v>
      </c>
    </row>
    <row r="28" spans="1:9" x14ac:dyDescent="0.25">
      <c r="A28" s="289">
        <v>12</v>
      </c>
      <c r="B28" s="289">
        <v>22693</v>
      </c>
      <c r="C28" s="289" t="s">
        <v>1144</v>
      </c>
      <c r="D28" s="289">
        <v>17000</v>
      </c>
      <c r="E28" s="289">
        <v>2300</v>
      </c>
      <c r="F28" s="289">
        <v>2010</v>
      </c>
      <c r="H28" s="300">
        <v>120000</v>
      </c>
      <c r="I28" s="325" t="s">
        <v>1214</v>
      </c>
    </row>
    <row r="29" spans="1:9" x14ac:dyDescent="0.25">
      <c r="A29" s="289">
        <v>12</v>
      </c>
      <c r="B29" s="289">
        <v>22693</v>
      </c>
      <c r="C29" s="289" t="s">
        <v>1144</v>
      </c>
      <c r="D29" s="289">
        <v>17000</v>
      </c>
      <c r="E29" s="289">
        <v>2315</v>
      </c>
      <c r="F29" s="289">
        <v>2010</v>
      </c>
      <c r="H29" s="300">
        <v>-60000</v>
      </c>
      <c r="I29" s="307"/>
    </row>
    <row r="30" spans="1:9" x14ac:dyDescent="0.25">
      <c r="A30" s="289">
        <v>12</v>
      </c>
      <c r="B30" s="289">
        <v>22693</v>
      </c>
      <c r="C30" s="289" t="s">
        <v>1144</v>
      </c>
      <c r="D30" s="289">
        <v>17000</v>
      </c>
      <c r="E30" s="289">
        <v>2355</v>
      </c>
      <c r="F30" s="289">
        <v>2010</v>
      </c>
      <c r="H30" s="300">
        <v>-60000</v>
      </c>
    </row>
    <row r="33" spans="1:9" x14ac:dyDescent="0.25">
      <c r="A33" s="289">
        <v>11</v>
      </c>
      <c r="B33" s="289">
        <v>134165</v>
      </c>
      <c r="C33" s="289" t="s">
        <v>1124</v>
      </c>
      <c r="D33" s="289">
        <v>17000</v>
      </c>
      <c r="E33" s="289">
        <v>2300</v>
      </c>
      <c r="F33" s="289">
        <v>2010</v>
      </c>
      <c r="H33" s="301">
        <v>40466</v>
      </c>
    </row>
    <row r="34" spans="1:9" x14ac:dyDescent="0.25">
      <c r="A34" s="289">
        <v>11</v>
      </c>
      <c r="B34" s="289">
        <v>134166</v>
      </c>
      <c r="C34" s="289" t="s">
        <v>1125</v>
      </c>
      <c r="D34" s="289">
        <v>17000</v>
      </c>
      <c r="E34" s="289">
        <v>2300</v>
      </c>
      <c r="F34" s="289">
        <v>2010</v>
      </c>
      <c r="H34" s="301">
        <v>21513</v>
      </c>
    </row>
    <row r="35" spans="1:9" x14ac:dyDescent="0.25">
      <c r="A35" s="289">
        <v>11</v>
      </c>
      <c r="B35" s="289">
        <v>134167</v>
      </c>
      <c r="C35" s="289" t="s">
        <v>1126</v>
      </c>
      <c r="D35" s="289">
        <v>17000</v>
      </c>
      <c r="E35" s="289">
        <v>2300</v>
      </c>
      <c r="F35" s="289">
        <v>2010</v>
      </c>
      <c r="H35" s="301">
        <v>57309</v>
      </c>
    </row>
    <row r="36" spans="1:9" x14ac:dyDescent="0.25">
      <c r="A36" s="289">
        <v>11</v>
      </c>
      <c r="B36" s="289">
        <v>134168</v>
      </c>
      <c r="C36" s="289" t="s">
        <v>1127</v>
      </c>
      <c r="D36" s="289">
        <v>17000</v>
      </c>
      <c r="E36" s="289">
        <v>2300</v>
      </c>
      <c r="F36" s="289">
        <v>2010</v>
      </c>
      <c r="H36" s="301">
        <v>52000</v>
      </c>
      <c r="I36" s="307"/>
    </row>
    <row r="37" spans="1:9" x14ac:dyDescent="0.25">
      <c r="A37" s="289">
        <v>11</v>
      </c>
      <c r="B37" s="289">
        <v>134169</v>
      </c>
      <c r="C37" s="289" t="s">
        <v>1128</v>
      </c>
      <c r="D37" s="289">
        <v>17000</v>
      </c>
      <c r="E37" s="289">
        <v>2300</v>
      </c>
      <c r="F37" s="289">
        <v>2010</v>
      </c>
      <c r="H37" s="301">
        <v>69258</v>
      </c>
      <c r="I37" s="307"/>
    </row>
    <row r="38" spans="1:9" x14ac:dyDescent="0.25">
      <c r="A38" s="289">
        <v>11</v>
      </c>
      <c r="B38" s="289">
        <v>134170</v>
      </c>
      <c r="C38" s="289" t="s">
        <v>1129</v>
      </c>
      <c r="D38" s="289">
        <v>17000</v>
      </c>
      <c r="E38" s="289">
        <v>2300</v>
      </c>
      <c r="F38" s="289">
        <v>2010</v>
      </c>
      <c r="H38" s="301">
        <v>79738</v>
      </c>
    </row>
    <row r="39" spans="1:9" x14ac:dyDescent="0.25">
      <c r="A39" s="289">
        <v>11</v>
      </c>
      <c r="B39" s="289">
        <v>134171</v>
      </c>
      <c r="C39" s="289" t="s">
        <v>1130</v>
      </c>
      <c r="D39" s="289">
        <v>17000</v>
      </c>
      <c r="E39" s="289">
        <v>2300</v>
      </c>
      <c r="F39" s="289">
        <v>2010</v>
      </c>
      <c r="H39" s="301">
        <v>59004</v>
      </c>
    </row>
    <row r="40" spans="1:9" x14ac:dyDescent="0.25">
      <c r="A40" s="289">
        <v>11</v>
      </c>
      <c r="B40" s="289">
        <v>134172</v>
      </c>
      <c r="C40" s="289" t="s">
        <v>1131</v>
      </c>
      <c r="D40" s="289">
        <v>17000</v>
      </c>
      <c r="E40" s="289">
        <v>2300</v>
      </c>
      <c r="F40" s="289">
        <v>2010</v>
      </c>
      <c r="H40" s="301">
        <v>21789</v>
      </c>
    </row>
    <row r="41" spans="1:9" x14ac:dyDescent="0.25">
      <c r="A41" s="289">
        <v>11</v>
      </c>
      <c r="B41" s="289">
        <v>134173</v>
      </c>
      <c r="C41" s="289" t="s">
        <v>1132</v>
      </c>
      <c r="D41" s="289">
        <v>17000</v>
      </c>
      <c r="E41" s="289">
        <v>2300</v>
      </c>
      <c r="F41" s="289">
        <v>2010</v>
      </c>
      <c r="H41" s="301">
        <v>46691</v>
      </c>
    </row>
    <row r="42" spans="1:9" x14ac:dyDescent="0.25">
      <c r="A42" s="289">
        <v>10</v>
      </c>
      <c r="B42" s="289">
        <v>21910</v>
      </c>
      <c r="C42" s="289" t="s">
        <v>1118</v>
      </c>
      <c r="D42" s="289">
        <v>17000</v>
      </c>
      <c r="E42" s="289">
        <v>2300</v>
      </c>
      <c r="F42" s="289">
        <v>2010</v>
      </c>
      <c r="H42" s="301">
        <v>-792625</v>
      </c>
    </row>
    <row r="44" spans="1:9" x14ac:dyDescent="0.25">
      <c r="A44" s="289">
        <v>8</v>
      </c>
      <c r="B44" s="289">
        <v>20049591</v>
      </c>
      <c r="C44" s="289" t="s">
        <v>1116</v>
      </c>
      <c r="D44" s="289">
        <v>17000</v>
      </c>
      <c r="E44" s="289">
        <v>2300</v>
      </c>
      <c r="F44" s="289">
        <v>2010</v>
      </c>
      <c r="H44" s="290">
        <v>-5194</v>
      </c>
    </row>
    <row r="49" spans="1:10" x14ac:dyDescent="0.25">
      <c r="A49" s="289">
        <v>3</v>
      </c>
      <c r="B49" s="289">
        <v>20548</v>
      </c>
      <c r="C49" s="289" t="s">
        <v>1105</v>
      </c>
      <c r="D49" s="289">
        <v>17000</v>
      </c>
      <c r="E49" s="289">
        <v>2300</v>
      </c>
      <c r="F49" s="289">
        <v>2010</v>
      </c>
      <c r="I49" s="299">
        <v>-414609</v>
      </c>
      <c r="J49" s="289" t="s">
        <v>1157</v>
      </c>
    </row>
    <row r="50" spans="1:10" x14ac:dyDescent="0.25">
      <c r="A50" s="289">
        <v>8</v>
      </c>
      <c r="B50" s="289">
        <v>21469</v>
      </c>
      <c r="C50" s="289" t="s">
        <v>1115</v>
      </c>
      <c r="D50" s="289">
        <v>17000</v>
      </c>
      <c r="E50" s="289">
        <v>2300</v>
      </c>
      <c r="F50" s="289">
        <v>2010</v>
      </c>
      <c r="I50" s="299">
        <v>-414609</v>
      </c>
      <c r="J50" s="289" t="s">
        <v>1157</v>
      </c>
    </row>
    <row r="51" spans="1:10" x14ac:dyDescent="0.25">
      <c r="A51" s="289">
        <v>12</v>
      </c>
      <c r="B51" s="289">
        <v>22230</v>
      </c>
      <c r="C51" s="289" t="s">
        <v>1135</v>
      </c>
      <c r="D51" s="289">
        <v>17000</v>
      </c>
      <c r="E51" s="289">
        <v>2300</v>
      </c>
      <c r="F51" s="289">
        <v>2010</v>
      </c>
      <c r="I51" s="299">
        <v>829218</v>
      </c>
      <c r="J51" s="289" t="s">
        <v>1157</v>
      </c>
    </row>
    <row r="52" spans="1:10" x14ac:dyDescent="0.25">
      <c r="I52" s="306">
        <f>SUM(I49:I51)</f>
        <v>0</v>
      </c>
    </row>
    <row r="53" spans="1:10" x14ac:dyDescent="0.25">
      <c r="A53" s="289">
        <v>11</v>
      </c>
      <c r="B53" s="289">
        <v>22027</v>
      </c>
      <c r="C53" s="289" t="s">
        <v>1119</v>
      </c>
      <c r="D53" s="289">
        <v>17000</v>
      </c>
      <c r="E53" s="289">
        <v>2100</v>
      </c>
      <c r="F53" s="289">
        <v>2010</v>
      </c>
      <c r="I53" s="291">
        <v>344856</v>
      </c>
      <c r="J53" s="289" t="s">
        <v>1158</v>
      </c>
    </row>
    <row r="54" spans="1:10" x14ac:dyDescent="0.25">
      <c r="A54" s="289">
        <v>11</v>
      </c>
      <c r="B54" s="289">
        <v>22027</v>
      </c>
      <c r="C54" s="289" t="s">
        <v>1119</v>
      </c>
      <c r="D54" s="289">
        <v>17000</v>
      </c>
      <c r="E54" s="289">
        <v>2320</v>
      </c>
      <c r="F54" s="289">
        <v>2010</v>
      </c>
      <c r="I54" s="291">
        <v>-46276</v>
      </c>
      <c r="J54" s="289" t="s">
        <v>1158</v>
      </c>
    </row>
    <row r="55" spans="1:10" x14ac:dyDescent="0.25">
      <c r="A55" s="289">
        <v>11</v>
      </c>
      <c r="B55" s="289">
        <v>22027</v>
      </c>
      <c r="C55" s="289" t="s">
        <v>1119</v>
      </c>
      <c r="D55" s="289">
        <v>17000</v>
      </c>
      <c r="E55" s="289">
        <v>2315</v>
      </c>
      <c r="F55" s="289">
        <v>2010</v>
      </c>
      <c r="I55" s="291">
        <v>-93382</v>
      </c>
      <c r="J55" s="289" t="s">
        <v>1158</v>
      </c>
    </row>
    <row r="56" spans="1:10" x14ac:dyDescent="0.25">
      <c r="A56" s="289">
        <v>11</v>
      </c>
      <c r="B56" s="289">
        <v>22027</v>
      </c>
      <c r="C56" s="289" t="s">
        <v>1119</v>
      </c>
      <c r="D56" s="289">
        <v>17000</v>
      </c>
      <c r="E56" s="289">
        <v>2360</v>
      </c>
      <c r="F56" s="289">
        <v>2010</v>
      </c>
      <c r="I56" s="291">
        <v>-73322</v>
      </c>
      <c r="J56" s="289" t="s">
        <v>1158</v>
      </c>
    </row>
    <row r="57" spans="1:10" x14ac:dyDescent="0.25">
      <c r="A57" s="289">
        <v>11</v>
      </c>
      <c r="B57" s="289">
        <v>22027</v>
      </c>
      <c r="C57" s="289" t="s">
        <v>1119</v>
      </c>
      <c r="D57" s="289">
        <v>17000</v>
      </c>
      <c r="E57" s="289">
        <v>2355</v>
      </c>
      <c r="F57" s="289">
        <v>2010</v>
      </c>
      <c r="I57" s="291">
        <v>-64451</v>
      </c>
      <c r="J57" s="289" t="s">
        <v>1158</v>
      </c>
    </row>
    <row r="58" spans="1:10" x14ac:dyDescent="0.25">
      <c r="A58" s="289">
        <v>11</v>
      </c>
      <c r="B58" s="289">
        <v>22027</v>
      </c>
      <c r="C58" s="289" t="s">
        <v>1119</v>
      </c>
      <c r="D58" s="289">
        <v>17000</v>
      </c>
      <c r="E58" s="289">
        <v>2330</v>
      </c>
      <c r="F58" s="289">
        <v>2010</v>
      </c>
      <c r="I58" s="291">
        <v>-67425</v>
      </c>
      <c r="J58" s="289" t="s">
        <v>1158</v>
      </c>
    </row>
    <row r="59" spans="1:10" x14ac:dyDescent="0.25">
      <c r="A59" s="289">
        <v>11</v>
      </c>
      <c r="B59" s="289">
        <v>22234</v>
      </c>
      <c r="C59" s="289" t="s">
        <v>1123</v>
      </c>
      <c r="D59" s="289">
        <v>17000</v>
      </c>
      <c r="E59" s="289">
        <v>2100</v>
      </c>
      <c r="F59" s="289">
        <v>2010</v>
      </c>
      <c r="I59" s="291">
        <v>-344856</v>
      </c>
      <c r="J59" s="289" t="s">
        <v>1159</v>
      </c>
    </row>
    <row r="60" spans="1:10" x14ac:dyDescent="0.25">
      <c r="A60" s="289">
        <v>11</v>
      </c>
      <c r="B60" s="289">
        <v>22234</v>
      </c>
      <c r="C60" s="289" t="s">
        <v>1123</v>
      </c>
      <c r="D60" s="289">
        <v>17000</v>
      </c>
      <c r="E60" s="289">
        <v>2320</v>
      </c>
      <c r="F60" s="289">
        <v>2010</v>
      </c>
      <c r="I60" s="291">
        <v>46276</v>
      </c>
      <c r="J60" s="289" t="s">
        <v>1159</v>
      </c>
    </row>
    <row r="61" spans="1:10" x14ac:dyDescent="0.25">
      <c r="A61" s="289">
        <v>11</v>
      </c>
      <c r="B61" s="289">
        <v>22234</v>
      </c>
      <c r="C61" s="289" t="s">
        <v>1123</v>
      </c>
      <c r="D61" s="289">
        <v>17000</v>
      </c>
      <c r="E61" s="289">
        <v>2315</v>
      </c>
      <c r="F61" s="289">
        <v>2010</v>
      </c>
      <c r="I61" s="291">
        <v>93382</v>
      </c>
      <c r="J61" s="289" t="s">
        <v>1159</v>
      </c>
    </row>
    <row r="62" spans="1:10" x14ac:dyDescent="0.25">
      <c r="A62" s="289">
        <v>11</v>
      </c>
      <c r="B62" s="289">
        <v>22234</v>
      </c>
      <c r="C62" s="289" t="s">
        <v>1123</v>
      </c>
      <c r="D62" s="289">
        <v>17000</v>
      </c>
      <c r="E62" s="289">
        <v>2360</v>
      </c>
      <c r="F62" s="289">
        <v>2010</v>
      </c>
      <c r="I62" s="291">
        <v>73322</v>
      </c>
      <c r="J62" s="289" t="s">
        <v>1159</v>
      </c>
    </row>
    <row r="63" spans="1:10" x14ac:dyDescent="0.25">
      <c r="A63" s="289">
        <v>11</v>
      </c>
      <c r="B63" s="289">
        <v>22234</v>
      </c>
      <c r="C63" s="289" t="s">
        <v>1123</v>
      </c>
      <c r="D63" s="289">
        <v>17000</v>
      </c>
      <c r="E63" s="289">
        <v>2355</v>
      </c>
      <c r="F63" s="289">
        <v>2010</v>
      </c>
      <c r="I63" s="291">
        <v>64451</v>
      </c>
      <c r="J63" s="289" t="s">
        <v>1159</v>
      </c>
    </row>
    <row r="64" spans="1:10" x14ac:dyDescent="0.25">
      <c r="A64" s="289">
        <v>11</v>
      </c>
      <c r="B64" s="289">
        <v>22234</v>
      </c>
      <c r="C64" s="289" t="s">
        <v>1123</v>
      </c>
      <c r="D64" s="289">
        <v>17000</v>
      </c>
      <c r="E64" s="289">
        <v>2330</v>
      </c>
      <c r="F64" s="289">
        <v>2010</v>
      </c>
      <c r="I64" s="291">
        <v>67425</v>
      </c>
      <c r="J64" s="289" t="s">
        <v>1159</v>
      </c>
    </row>
    <row r="65" spans="1:10" x14ac:dyDescent="0.25">
      <c r="A65" s="289">
        <v>11</v>
      </c>
      <c r="B65" s="289">
        <v>22062</v>
      </c>
      <c r="C65" s="289" t="s">
        <v>1121</v>
      </c>
      <c r="D65" s="289">
        <v>17000</v>
      </c>
      <c r="E65" s="289">
        <v>2330</v>
      </c>
      <c r="F65" s="289">
        <v>2010</v>
      </c>
      <c r="I65" s="292">
        <v>-67425</v>
      </c>
      <c r="J65" s="289" t="s">
        <v>1160</v>
      </c>
    </row>
    <row r="66" spans="1:10" x14ac:dyDescent="0.25">
      <c r="A66" s="289">
        <v>11</v>
      </c>
      <c r="B66" s="289">
        <v>22062</v>
      </c>
      <c r="C66" s="289" t="s">
        <v>1121</v>
      </c>
      <c r="D66" s="289">
        <v>17000</v>
      </c>
      <c r="E66" s="289">
        <v>2315</v>
      </c>
      <c r="F66" s="289">
        <v>2010</v>
      </c>
      <c r="I66" s="292">
        <v>-93382</v>
      </c>
      <c r="J66" s="289" t="s">
        <v>1160</v>
      </c>
    </row>
    <row r="67" spans="1:10" x14ac:dyDescent="0.25">
      <c r="A67" s="289">
        <v>11</v>
      </c>
      <c r="B67" s="289">
        <v>22062</v>
      </c>
      <c r="C67" s="289" t="s">
        <v>1121</v>
      </c>
      <c r="D67" s="289">
        <v>17000</v>
      </c>
      <c r="E67" s="289">
        <v>2320</v>
      </c>
      <c r="F67" s="289">
        <v>2010</v>
      </c>
      <c r="I67" s="292">
        <v>-46276</v>
      </c>
      <c r="J67" s="289" t="s">
        <v>1160</v>
      </c>
    </row>
    <row r="68" spans="1:10" x14ac:dyDescent="0.25">
      <c r="A68" s="289">
        <v>11</v>
      </c>
      <c r="B68" s="289">
        <v>22062</v>
      </c>
      <c r="C68" s="289" t="s">
        <v>1121</v>
      </c>
      <c r="D68" s="289">
        <v>17000</v>
      </c>
      <c r="E68" s="289">
        <v>2360</v>
      </c>
      <c r="F68" s="289">
        <v>2010</v>
      </c>
      <c r="I68" s="292">
        <v>-73322</v>
      </c>
      <c r="J68" s="289" t="s">
        <v>1160</v>
      </c>
    </row>
    <row r="69" spans="1:10" x14ac:dyDescent="0.25">
      <c r="A69" s="289">
        <v>11</v>
      </c>
      <c r="B69" s="289">
        <v>22062</v>
      </c>
      <c r="C69" s="289" t="s">
        <v>1121</v>
      </c>
      <c r="D69" s="289">
        <v>17000</v>
      </c>
      <c r="E69" s="289">
        <v>2355</v>
      </c>
      <c r="F69" s="289">
        <v>2010</v>
      </c>
      <c r="I69" s="292">
        <v>-64451</v>
      </c>
      <c r="J69" s="289" t="s">
        <v>1160</v>
      </c>
    </row>
    <row r="70" spans="1:10" x14ac:dyDescent="0.25">
      <c r="A70" s="289">
        <v>11</v>
      </c>
      <c r="B70" s="289">
        <v>22062</v>
      </c>
      <c r="C70" s="289" t="s">
        <v>1121</v>
      </c>
      <c r="D70" s="289">
        <v>17000</v>
      </c>
      <c r="E70" s="289">
        <v>2300</v>
      </c>
      <c r="F70" s="289">
        <v>2010</v>
      </c>
      <c r="I70" s="292">
        <v>344856</v>
      </c>
      <c r="J70" s="289" t="s">
        <v>1160</v>
      </c>
    </row>
    <row r="71" spans="1:10" x14ac:dyDescent="0.25">
      <c r="A71" s="289">
        <v>12</v>
      </c>
      <c r="B71" s="289">
        <v>22298</v>
      </c>
      <c r="C71" s="289" t="s">
        <v>1140</v>
      </c>
      <c r="D71" s="289">
        <v>17000</v>
      </c>
      <c r="E71" s="289">
        <v>2320</v>
      </c>
      <c r="F71" s="289">
        <v>2010</v>
      </c>
      <c r="I71" s="296">
        <v>46276</v>
      </c>
      <c r="J71" s="289" t="s">
        <v>1161</v>
      </c>
    </row>
    <row r="72" spans="1:10" x14ac:dyDescent="0.25">
      <c r="A72" s="289">
        <v>12</v>
      </c>
      <c r="B72" s="289">
        <v>22298</v>
      </c>
      <c r="C72" s="289" t="s">
        <v>1140</v>
      </c>
      <c r="D72" s="289">
        <v>17000</v>
      </c>
      <c r="E72" s="289">
        <v>2355</v>
      </c>
      <c r="F72" s="289">
        <v>2010</v>
      </c>
      <c r="I72" s="296">
        <v>64251</v>
      </c>
      <c r="J72" s="289" t="s">
        <v>1161</v>
      </c>
    </row>
    <row r="73" spans="1:10" x14ac:dyDescent="0.25">
      <c r="A73" s="289">
        <v>12</v>
      </c>
      <c r="B73" s="289">
        <v>22298</v>
      </c>
      <c r="C73" s="289" t="s">
        <v>1140</v>
      </c>
      <c r="D73" s="289">
        <v>17000</v>
      </c>
      <c r="E73" s="289">
        <v>2330</v>
      </c>
      <c r="F73" s="289">
        <v>2010</v>
      </c>
      <c r="I73" s="296">
        <v>67425</v>
      </c>
      <c r="J73" s="289" t="s">
        <v>1161</v>
      </c>
    </row>
    <row r="74" spans="1:10" x14ac:dyDescent="0.25">
      <c r="A74" s="289">
        <v>12</v>
      </c>
      <c r="B74" s="289">
        <v>22298</v>
      </c>
      <c r="C74" s="289" t="s">
        <v>1140</v>
      </c>
      <c r="D74" s="289">
        <v>17000</v>
      </c>
      <c r="E74" s="289">
        <v>2360</v>
      </c>
      <c r="F74" s="289">
        <v>2010</v>
      </c>
      <c r="I74" s="296">
        <v>73322</v>
      </c>
      <c r="J74" s="289" t="s">
        <v>1161</v>
      </c>
    </row>
    <row r="75" spans="1:10" x14ac:dyDescent="0.25">
      <c r="A75" s="289">
        <v>12</v>
      </c>
      <c r="B75" s="289">
        <v>22298</v>
      </c>
      <c r="C75" s="289" t="s">
        <v>1140</v>
      </c>
      <c r="D75" s="289">
        <v>17000</v>
      </c>
      <c r="E75" s="289">
        <v>2315</v>
      </c>
      <c r="F75" s="289">
        <v>2010</v>
      </c>
      <c r="I75" s="296">
        <v>93382</v>
      </c>
      <c r="J75" s="289" t="s">
        <v>1161</v>
      </c>
    </row>
    <row r="76" spans="1:10" x14ac:dyDescent="0.25">
      <c r="A76" s="289">
        <v>12</v>
      </c>
      <c r="B76" s="289">
        <v>22298</v>
      </c>
      <c r="C76" s="289" t="s">
        <v>1140</v>
      </c>
      <c r="D76" s="289">
        <v>17000</v>
      </c>
      <c r="E76" s="289">
        <v>2300</v>
      </c>
      <c r="F76" s="289">
        <v>2010</v>
      </c>
      <c r="I76" s="296">
        <v>-344656</v>
      </c>
      <c r="J76" s="289" t="s">
        <v>1161</v>
      </c>
    </row>
    <row r="77" spans="1:10" x14ac:dyDescent="0.25">
      <c r="A77" s="289">
        <v>12</v>
      </c>
      <c r="B77" s="289">
        <v>22146</v>
      </c>
      <c r="C77" s="289" t="s">
        <v>1133</v>
      </c>
      <c r="D77" s="289">
        <v>17000</v>
      </c>
      <c r="E77" s="289">
        <v>2100</v>
      </c>
      <c r="F77" s="289">
        <v>2010</v>
      </c>
      <c r="I77" s="293">
        <v>-344856</v>
      </c>
      <c r="J77" s="289" t="s">
        <v>1162</v>
      </c>
    </row>
    <row r="78" spans="1:10" x14ac:dyDescent="0.25">
      <c r="A78" s="289">
        <v>12</v>
      </c>
      <c r="B78" s="289">
        <v>22146</v>
      </c>
      <c r="C78" s="289" t="s">
        <v>1134</v>
      </c>
      <c r="D78" s="289">
        <v>17000</v>
      </c>
      <c r="E78" s="289">
        <v>2300</v>
      </c>
      <c r="F78" s="289">
        <v>2010</v>
      </c>
      <c r="I78" s="293">
        <v>344856</v>
      </c>
      <c r="J78" s="289" t="s">
        <v>1162</v>
      </c>
    </row>
    <row r="79" spans="1:10" x14ac:dyDescent="0.25">
      <c r="A79" s="289">
        <v>12</v>
      </c>
      <c r="B79" s="289">
        <v>22342</v>
      </c>
      <c r="C79" s="289" t="s">
        <v>1141</v>
      </c>
      <c r="D79" s="289">
        <v>17000</v>
      </c>
      <c r="E79" s="289">
        <v>2100</v>
      </c>
      <c r="F79" s="289">
        <v>2010</v>
      </c>
      <c r="I79" s="293">
        <v>344856</v>
      </c>
      <c r="J79" s="289" t="s">
        <v>1162</v>
      </c>
    </row>
    <row r="80" spans="1:10" x14ac:dyDescent="0.25">
      <c r="A80" s="289">
        <v>12</v>
      </c>
      <c r="B80" s="289">
        <v>22342</v>
      </c>
      <c r="C80" s="289" t="s">
        <v>1141</v>
      </c>
      <c r="D80" s="289">
        <v>17000</v>
      </c>
      <c r="E80" s="289">
        <v>2300</v>
      </c>
      <c r="F80" s="289">
        <v>2010</v>
      </c>
      <c r="I80" s="293">
        <v>-344856</v>
      </c>
      <c r="J80" s="289" t="s">
        <v>1162</v>
      </c>
    </row>
    <row r="81" spans="1:9" x14ac:dyDescent="0.25">
      <c r="I81" s="306">
        <f>SUM(I53:I80)</f>
        <v>0</v>
      </c>
    </row>
    <row r="82" spans="1:9" x14ac:dyDescent="0.25">
      <c r="A82" s="289">
        <v>9</v>
      </c>
      <c r="B82" s="289">
        <v>128869</v>
      </c>
      <c r="C82" s="289" t="s">
        <v>1117</v>
      </c>
      <c r="D82" s="289">
        <v>17000</v>
      </c>
      <c r="E82" s="289">
        <v>2300</v>
      </c>
      <c r="F82" s="289">
        <v>2010</v>
      </c>
      <c r="G82" s="289">
        <v>12091</v>
      </c>
      <c r="I82" s="294">
        <v>100000</v>
      </c>
    </row>
    <row r="83" spans="1:9" x14ac:dyDescent="0.25">
      <c r="A83" s="289">
        <v>12</v>
      </c>
      <c r="B83" s="289">
        <v>22251</v>
      </c>
      <c r="C83" s="289" t="s">
        <v>1136</v>
      </c>
      <c r="D83" s="289">
        <v>17000</v>
      </c>
      <c r="E83" s="289">
        <v>2360</v>
      </c>
      <c r="F83" s="289">
        <v>2010</v>
      </c>
      <c r="I83" s="294">
        <v>-100000</v>
      </c>
    </row>
    <row r="84" spans="1:9" x14ac:dyDescent="0.25">
      <c r="A84" s="289">
        <v>12</v>
      </c>
      <c r="B84" s="289">
        <v>22251</v>
      </c>
      <c r="C84" s="289" t="s">
        <v>1137</v>
      </c>
      <c r="D84" s="289">
        <v>17000</v>
      </c>
      <c r="E84" s="289">
        <v>2300</v>
      </c>
      <c r="F84" s="289">
        <v>2010</v>
      </c>
      <c r="G84" s="289">
        <v>12091</v>
      </c>
      <c r="I84" s="294">
        <v>400000</v>
      </c>
    </row>
    <row r="85" spans="1:9" x14ac:dyDescent="0.25">
      <c r="A85" s="289">
        <v>12</v>
      </c>
      <c r="B85" s="289">
        <v>22253</v>
      </c>
      <c r="C85" s="289" t="s">
        <v>1138</v>
      </c>
      <c r="D85" s="289">
        <v>17000</v>
      </c>
      <c r="E85" s="289">
        <v>2360</v>
      </c>
      <c r="F85" s="289">
        <v>2010</v>
      </c>
      <c r="I85" s="294">
        <v>100000</v>
      </c>
    </row>
    <row r="86" spans="1:9" x14ac:dyDescent="0.25">
      <c r="A86" s="289">
        <v>12</v>
      </c>
      <c r="B86" s="289">
        <v>22253</v>
      </c>
      <c r="C86" s="289" t="s">
        <v>1138</v>
      </c>
      <c r="D86" s="289">
        <v>17000</v>
      </c>
      <c r="E86" s="289">
        <v>2360</v>
      </c>
      <c r="F86" s="289">
        <v>2010</v>
      </c>
      <c r="G86" s="289">
        <v>12091</v>
      </c>
      <c r="I86" s="294">
        <v>-100000</v>
      </c>
    </row>
    <row r="87" spans="1:9" x14ac:dyDescent="0.25">
      <c r="A87" s="289">
        <v>12</v>
      </c>
      <c r="B87" s="289">
        <v>22253</v>
      </c>
      <c r="C87" s="289" t="s">
        <v>1138</v>
      </c>
      <c r="D87" s="289">
        <v>17000</v>
      </c>
      <c r="E87" s="289">
        <v>2191</v>
      </c>
      <c r="F87" s="289">
        <v>2010</v>
      </c>
      <c r="G87" s="289">
        <v>12091</v>
      </c>
      <c r="I87" s="294">
        <v>-100000</v>
      </c>
    </row>
    <row r="88" spans="1:9" x14ac:dyDescent="0.25">
      <c r="A88" s="289">
        <v>12</v>
      </c>
      <c r="B88" s="289">
        <v>22253</v>
      </c>
      <c r="C88" s="289" t="s">
        <v>1138</v>
      </c>
      <c r="D88" s="289">
        <v>17000</v>
      </c>
      <c r="E88" s="289">
        <v>2191</v>
      </c>
      <c r="F88" s="289">
        <v>2010</v>
      </c>
      <c r="I88" s="294">
        <v>100000</v>
      </c>
    </row>
    <row r="89" spans="1:9" x14ac:dyDescent="0.25">
      <c r="A89" s="289">
        <v>12</v>
      </c>
      <c r="B89" s="289">
        <v>22259</v>
      </c>
      <c r="C89" s="289" t="s">
        <v>1139</v>
      </c>
      <c r="D89" s="289">
        <v>17000</v>
      </c>
      <c r="E89" s="289">
        <v>2360</v>
      </c>
      <c r="F89" s="289">
        <v>2010</v>
      </c>
      <c r="I89" s="294">
        <v>100000</v>
      </c>
    </row>
    <row r="90" spans="1:9" x14ac:dyDescent="0.25">
      <c r="A90" s="289">
        <v>12</v>
      </c>
      <c r="B90" s="289">
        <v>22259</v>
      </c>
      <c r="C90" s="289" t="s">
        <v>1139</v>
      </c>
      <c r="D90" s="289">
        <v>17000</v>
      </c>
      <c r="E90" s="289">
        <v>2300</v>
      </c>
      <c r="F90" s="289">
        <v>2010</v>
      </c>
      <c r="G90" s="289">
        <v>12091</v>
      </c>
      <c r="I90" s="294">
        <v>-400000</v>
      </c>
    </row>
    <row r="91" spans="1:9" x14ac:dyDescent="0.25">
      <c r="A91" s="289">
        <v>12</v>
      </c>
      <c r="B91" s="289">
        <v>22651</v>
      </c>
      <c r="C91" s="289" t="s">
        <v>1142</v>
      </c>
      <c r="D91" s="289">
        <v>17000</v>
      </c>
      <c r="E91" s="289">
        <v>2360</v>
      </c>
      <c r="F91" s="289">
        <v>2010</v>
      </c>
      <c r="I91" s="294">
        <v>-100000</v>
      </c>
    </row>
    <row r="92" spans="1:9" x14ac:dyDescent="0.25">
      <c r="A92" s="289">
        <v>12</v>
      </c>
      <c r="B92" s="289">
        <v>22651</v>
      </c>
      <c r="C92" s="289" t="s">
        <v>1142</v>
      </c>
      <c r="D92" s="289">
        <v>17000</v>
      </c>
      <c r="E92" s="289">
        <v>2360</v>
      </c>
      <c r="F92" s="289">
        <v>2010</v>
      </c>
      <c r="G92" s="289">
        <v>12091</v>
      </c>
      <c r="I92" s="294">
        <v>100000</v>
      </c>
    </row>
    <row r="93" spans="1:9" x14ac:dyDescent="0.25">
      <c r="A93" s="289">
        <v>12</v>
      </c>
      <c r="B93" s="289">
        <v>22651</v>
      </c>
      <c r="C93" s="289" t="s">
        <v>1142</v>
      </c>
      <c r="D93" s="289">
        <v>17000</v>
      </c>
      <c r="E93" s="289">
        <v>2191</v>
      </c>
      <c r="F93" s="289">
        <v>2010</v>
      </c>
      <c r="G93" s="289">
        <v>12091</v>
      </c>
      <c r="I93" s="294">
        <v>100000</v>
      </c>
    </row>
    <row r="94" spans="1:9" x14ac:dyDescent="0.25">
      <c r="A94" s="289">
        <v>12</v>
      </c>
      <c r="B94" s="289">
        <v>22651</v>
      </c>
      <c r="C94" s="289" t="s">
        <v>1142</v>
      </c>
      <c r="D94" s="289">
        <v>17000</v>
      </c>
      <c r="E94" s="289">
        <v>2191</v>
      </c>
      <c r="F94" s="289">
        <v>2010</v>
      </c>
      <c r="I94" s="294">
        <v>-100000</v>
      </c>
    </row>
    <row r="95" spans="1:9" x14ac:dyDescent="0.25">
      <c r="A95" s="289">
        <v>12</v>
      </c>
      <c r="B95" s="289">
        <v>22659</v>
      </c>
      <c r="C95" s="289" t="s">
        <v>1143</v>
      </c>
      <c r="D95" s="289">
        <v>17000</v>
      </c>
      <c r="E95" s="289">
        <v>2300</v>
      </c>
      <c r="F95" s="289">
        <v>2010</v>
      </c>
      <c r="G95" s="289">
        <v>12091</v>
      </c>
      <c r="I95" s="294">
        <v>-100000</v>
      </c>
    </row>
    <row r="97" spans="1:9" x14ac:dyDescent="0.25">
      <c r="A97" s="289">
        <v>12</v>
      </c>
      <c r="B97" s="289">
        <v>22700</v>
      </c>
      <c r="C97" s="289" t="s">
        <v>1145</v>
      </c>
      <c r="D97" s="289">
        <v>17000</v>
      </c>
      <c r="E97" s="289">
        <v>2320</v>
      </c>
      <c r="F97" s="289">
        <v>2010</v>
      </c>
      <c r="G97" s="289">
        <v>11221</v>
      </c>
      <c r="I97" s="302">
        <v>-40856</v>
      </c>
    </row>
    <row r="98" spans="1:9" x14ac:dyDescent="0.25">
      <c r="A98" s="289">
        <v>12</v>
      </c>
      <c r="B98" s="289">
        <v>22700</v>
      </c>
      <c r="C98" s="289" t="s">
        <v>1145</v>
      </c>
      <c r="D98" s="289">
        <v>17000</v>
      </c>
      <c r="E98" s="289">
        <v>2315</v>
      </c>
      <c r="F98" s="289">
        <v>2010</v>
      </c>
      <c r="G98" s="289">
        <v>11221</v>
      </c>
      <c r="I98" s="302">
        <v>-1327</v>
      </c>
    </row>
    <row r="99" spans="1:9" x14ac:dyDescent="0.25">
      <c r="A99" s="289">
        <v>12</v>
      </c>
      <c r="B99" s="289">
        <v>22700</v>
      </c>
      <c r="C99" s="289" t="s">
        <v>1145</v>
      </c>
      <c r="D99" s="289">
        <v>17000</v>
      </c>
      <c r="E99" s="289">
        <v>2300</v>
      </c>
      <c r="F99" s="289">
        <v>2010</v>
      </c>
      <c r="G99" s="289">
        <v>11221</v>
      </c>
      <c r="I99" s="302">
        <v>42183</v>
      </c>
    </row>
    <row r="101" spans="1:9" x14ac:dyDescent="0.25">
      <c r="H101" s="290">
        <f>SUM(H9:H100)</f>
        <v>-860860</v>
      </c>
      <c r="I101" s="290">
        <f>SUM(I2:I100)</f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FE1A7-56DE-4234-8DC2-C5A122278FFF}">
  <sheetPr>
    <tabColor rgb="FFFF0000"/>
  </sheetPr>
  <dimension ref="A1:K18"/>
  <sheetViews>
    <sheetView workbookViewId="0">
      <selection activeCell="K27" sqref="K27"/>
    </sheetView>
  </sheetViews>
  <sheetFormatPr baseColWidth="10" defaultRowHeight="15" x14ac:dyDescent="0.25"/>
  <cols>
    <col min="3" max="3" width="31.85546875" bestFit="1" customWidth="1"/>
    <col min="8" max="8" width="11.42578125" style="252"/>
    <col min="9" max="9" width="12.7109375" customWidth="1"/>
    <col min="10" max="10" width="59.28515625" bestFit="1" customWidth="1"/>
  </cols>
  <sheetData>
    <row r="1" spans="1:10" x14ac:dyDescent="0.25">
      <c r="A1" s="297" t="s">
        <v>1097</v>
      </c>
      <c r="B1" s="297" t="s">
        <v>1098</v>
      </c>
      <c r="C1" s="297" t="s">
        <v>1099</v>
      </c>
      <c r="D1" s="297" t="s">
        <v>78</v>
      </c>
      <c r="E1" s="297" t="s">
        <v>74</v>
      </c>
      <c r="F1" s="297" t="s">
        <v>76</v>
      </c>
      <c r="G1" s="297" t="s">
        <v>1100</v>
      </c>
      <c r="H1" s="298" t="s">
        <v>1101</v>
      </c>
    </row>
    <row r="2" spans="1:10" x14ac:dyDescent="0.25">
      <c r="A2" s="297">
        <v>8</v>
      </c>
      <c r="B2" s="297">
        <v>21463</v>
      </c>
      <c r="C2" s="297" t="s">
        <v>1147</v>
      </c>
      <c r="D2" s="297">
        <v>17500</v>
      </c>
      <c r="E2" s="297">
        <v>2300</v>
      </c>
      <c r="F2" s="297">
        <v>2010</v>
      </c>
      <c r="G2" s="297"/>
      <c r="H2" s="298">
        <v>-389191</v>
      </c>
      <c r="J2" s="326" t="s">
        <v>1156</v>
      </c>
    </row>
    <row r="3" spans="1:10" x14ac:dyDescent="0.25">
      <c r="A3" s="297">
        <v>8</v>
      </c>
      <c r="B3" s="297">
        <v>21463</v>
      </c>
      <c r="C3" s="297" t="s">
        <v>1148</v>
      </c>
      <c r="D3" s="297">
        <v>17500</v>
      </c>
      <c r="E3" s="297">
        <v>2300</v>
      </c>
      <c r="F3" s="297">
        <v>2010</v>
      </c>
      <c r="G3" s="297"/>
      <c r="I3" s="298">
        <v>-98970</v>
      </c>
      <c r="J3" t="s">
        <v>1207</v>
      </c>
    </row>
    <row r="4" spans="1:10" x14ac:dyDescent="0.25">
      <c r="A4" s="297">
        <v>12</v>
      </c>
      <c r="B4" s="297">
        <v>22638</v>
      </c>
      <c r="C4" s="297" t="s">
        <v>1149</v>
      </c>
      <c r="D4" s="297">
        <v>17500</v>
      </c>
      <c r="E4" s="297">
        <v>2320</v>
      </c>
      <c r="F4" s="297">
        <v>2010</v>
      </c>
      <c r="G4" s="297">
        <v>11221</v>
      </c>
      <c r="I4" s="298">
        <v>-145821</v>
      </c>
    </row>
    <row r="5" spans="1:10" x14ac:dyDescent="0.25">
      <c r="A5" s="297">
        <v>12</v>
      </c>
      <c r="B5" s="297">
        <v>22638</v>
      </c>
      <c r="C5" s="297" t="s">
        <v>1149</v>
      </c>
      <c r="D5" s="297">
        <v>17500</v>
      </c>
      <c r="E5" s="297">
        <v>2370</v>
      </c>
      <c r="F5" s="297">
        <v>2010</v>
      </c>
      <c r="G5" s="297">
        <v>11221</v>
      </c>
      <c r="I5" s="298">
        <v>-28083</v>
      </c>
      <c r="J5" t="s">
        <v>894</v>
      </c>
    </row>
    <row r="6" spans="1:10" x14ac:dyDescent="0.25">
      <c r="A6" s="297">
        <v>12</v>
      </c>
      <c r="B6" s="297">
        <v>22638</v>
      </c>
      <c r="C6" s="297" t="s">
        <v>1150</v>
      </c>
      <c r="D6" s="297">
        <v>17500</v>
      </c>
      <c r="E6" s="297">
        <v>2150</v>
      </c>
      <c r="F6" s="297">
        <v>2010</v>
      </c>
      <c r="G6" s="297">
        <v>12297</v>
      </c>
      <c r="I6" s="298">
        <v>-34180</v>
      </c>
      <c r="J6" t="s">
        <v>958</v>
      </c>
    </row>
    <row r="7" spans="1:10" x14ac:dyDescent="0.25">
      <c r="A7" s="297">
        <v>12</v>
      </c>
      <c r="B7" s="297">
        <v>22638</v>
      </c>
      <c r="C7" s="297" t="s">
        <v>1150</v>
      </c>
      <c r="D7" s="297">
        <v>17500</v>
      </c>
      <c r="E7" s="297">
        <v>2180</v>
      </c>
      <c r="F7" s="297">
        <v>2010</v>
      </c>
      <c r="G7" s="297">
        <v>12297</v>
      </c>
      <c r="I7" s="298">
        <v>-26195</v>
      </c>
      <c r="J7" t="s">
        <v>880</v>
      </c>
    </row>
    <row r="8" spans="1:10" x14ac:dyDescent="0.25">
      <c r="A8" s="297">
        <v>12</v>
      </c>
      <c r="B8" s="297">
        <v>22638</v>
      </c>
      <c r="C8" s="297" t="s">
        <v>1150</v>
      </c>
      <c r="D8" s="297">
        <v>17500</v>
      </c>
      <c r="E8" s="297">
        <v>2320</v>
      </c>
      <c r="F8" s="297">
        <v>2010</v>
      </c>
      <c r="G8" s="297">
        <v>12297</v>
      </c>
      <c r="I8" s="298">
        <v>-178839</v>
      </c>
    </row>
    <row r="9" spans="1:10" x14ac:dyDescent="0.25">
      <c r="A9" s="297">
        <v>12</v>
      </c>
      <c r="B9" s="297">
        <v>22641</v>
      </c>
      <c r="C9" s="297" t="s">
        <v>1151</v>
      </c>
      <c r="D9" s="297">
        <v>17500</v>
      </c>
      <c r="E9" s="297">
        <v>2315</v>
      </c>
      <c r="F9" s="297">
        <v>2010</v>
      </c>
      <c r="G9" s="297"/>
      <c r="H9" s="298">
        <v>-107024</v>
      </c>
      <c r="J9" s="326"/>
    </row>
    <row r="10" spans="1:10" x14ac:dyDescent="0.25">
      <c r="A10" s="297">
        <v>12</v>
      </c>
      <c r="B10" s="297">
        <v>22638</v>
      </c>
      <c r="C10" s="297" t="s">
        <v>1149</v>
      </c>
      <c r="D10" s="297">
        <v>17500</v>
      </c>
      <c r="E10" s="297">
        <v>2010</v>
      </c>
      <c r="F10" s="297">
        <v>2010</v>
      </c>
      <c r="G10" s="297">
        <v>11221</v>
      </c>
      <c r="I10" s="298">
        <v>-46541</v>
      </c>
      <c r="J10" t="s">
        <v>1155</v>
      </c>
    </row>
    <row r="11" spans="1:10" x14ac:dyDescent="0.25">
      <c r="A11" s="297">
        <v>12</v>
      </c>
      <c r="B11" s="297">
        <v>22638</v>
      </c>
      <c r="C11" s="297" t="s">
        <v>1150</v>
      </c>
      <c r="D11" s="297">
        <v>17500</v>
      </c>
      <c r="E11" s="297">
        <v>2010</v>
      </c>
      <c r="F11" s="297">
        <v>2010</v>
      </c>
      <c r="G11" s="297">
        <v>12297</v>
      </c>
      <c r="I11" s="298">
        <v>-119832</v>
      </c>
      <c r="J11" t="s">
        <v>1155</v>
      </c>
    </row>
    <row r="12" spans="1:10" x14ac:dyDescent="0.25">
      <c r="A12" s="297">
        <v>12</v>
      </c>
      <c r="B12" s="297">
        <v>22751</v>
      </c>
      <c r="C12" s="297" t="s">
        <v>1152</v>
      </c>
      <c r="D12" s="297">
        <v>17500</v>
      </c>
      <c r="E12" s="297">
        <v>2010</v>
      </c>
      <c r="F12" s="297">
        <v>2010</v>
      </c>
      <c r="G12" s="297">
        <v>11221</v>
      </c>
      <c r="I12" s="298">
        <v>46541</v>
      </c>
      <c r="J12" t="s">
        <v>1155</v>
      </c>
    </row>
    <row r="13" spans="1:10" x14ac:dyDescent="0.25">
      <c r="A13" s="297">
        <v>12</v>
      </c>
      <c r="B13" s="297">
        <v>22751</v>
      </c>
      <c r="C13" s="297" t="s">
        <v>1152</v>
      </c>
      <c r="D13" s="297">
        <v>17500</v>
      </c>
      <c r="E13" s="297">
        <v>2010</v>
      </c>
      <c r="F13" s="297">
        <v>2010</v>
      </c>
      <c r="G13" s="297">
        <v>12297</v>
      </c>
      <c r="I13" s="298">
        <v>119832</v>
      </c>
      <c r="J13" t="s">
        <v>1155</v>
      </c>
    </row>
    <row r="14" spans="1:10" x14ac:dyDescent="0.25">
      <c r="A14" s="297">
        <v>7</v>
      </c>
      <c r="B14" s="297">
        <v>20044615</v>
      </c>
      <c r="C14" s="297" t="s">
        <v>1146</v>
      </c>
      <c r="D14" s="297">
        <v>17500</v>
      </c>
      <c r="E14" s="297">
        <v>2390</v>
      </c>
      <c r="F14" s="297">
        <v>2010</v>
      </c>
      <c r="G14" s="297"/>
      <c r="I14" s="298">
        <v>-113191</v>
      </c>
    </row>
    <row r="15" spans="1:10" x14ac:dyDescent="0.25">
      <c r="A15" s="297">
        <v>12</v>
      </c>
      <c r="B15" s="297">
        <v>20084941</v>
      </c>
      <c r="C15" s="297" t="s">
        <v>1153</v>
      </c>
      <c r="D15" s="297">
        <v>17500</v>
      </c>
      <c r="E15" s="297">
        <v>2300</v>
      </c>
      <c r="F15" s="297">
        <v>2010</v>
      </c>
      <c r="G15" s="297"/>
      <c r="I15" s="298">
        <v>-247108</v>
      </c>
      <c r="J15" t="s">
        <v>1208</v>
      </c>
    </row>
    <row r="16" spans="1:10" x14ac:dyDescent="0.25">
      <c r="A16" s="297">
        <v>12</v>
      </c>
      <c r="B16" s="297">
        <v>20084942</v>
      </c>
      <c r="C16" s="297" t="s">
        <v>1153</v>
      </c>
      <c r="D16" s="297">
        <v>17500</v>
      </c>
      <c r="E16" s="297">
        <v>2300</v>
      </c>
      <c r="F16" s="297">
        <v>2010</v>
      </c>
      <c r="G16" s="297"/>
      <c r="I16" s="298">
        <v>-120540</v>
      </c>
      <c r="J16" t="s">
        <v>1208</v>
      </c>
    </row>
    <row r="17" spans="1:11" x14ac:dyDescent="0.25">
      <c r="A17" s="297">
        <v>12</v>
      </c>
      <c r="B17" s="297">
        <v>20085135</v>
      </c>
      <c r="C17" s="297" t="s">
        <v>1154</v>
      </c>
      <c r="D17" s="297">
        <v>17500</v>
      </c>
      <c r="E17" s="297">
        <v>2300</v>
      </c>
      <c r="F17" s="297">
        <v>2010</v>
      </c>
      <c r="G17" s="297"/>
      <c r="I17" s="298">
        <v>-212575</v>
      </c>
      <c r="J17" t="s">
        <v>1234</v>
      </c>
      <c r="K17" s="311"/>
    </row>
    <row r="18" spans="1:11" x14ac:dyDescent="0.25">
      <c r="A18" s="297"/>
      <c r="B18" s="297"/>
      <c r="C18" s="297"/>
      <c r="D18" s="297"/>
      <c r="E18" s="297"/>
      <c r="F18" s="297"/>
      <c r="G18" s="297"/>
      <c r="H18" s="298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ADBD9-1CDB-4A37-AB1E-4A1E2F423DCC}">
  <sheetPr>
    <tabColor rgb="FFFF0000"/>
  </sheetPr>
  <dimension ref="A1:J12"/>
  <sheetViews>
    <sheetView workbookViewId="0">
      <selection activeCell="J9" sqref="J9"/>
    </sheetView>
  </sheetViews>
  <sheetFormatPr baseColWidth="10" defaultRowHeight="15" x14ac:dyDescent="0.25"/>
  <cols>
    <col min="3" max="3" width="52.42578125" bestFit="1" customWidth="1"/>
    <col min="8" max="8" width="11.42578125" style="252"/>
    <col min="10" max="10" width="22" bestFit="1" customWidth="1"/>
  </cols>
  <sheetData>
    <row r="1" spans="1:10" x14ac:dyDescent="0.25">
      <c r="A1" t="s">
        <v>1097</v>
      </c>
      <c r="B1" t="s">
        <v>1098</v>
      </c>
      <c r="C1" t="s">
        <v>1099</v>
      </c>
      <c r="D1" t="s">
        <v>78</v>
      </c>
      <c r="E1" t="s">
        <v>74</v>
      </c>
      <c r="F1" t="s">
        <v>76</v>
      </c>
      <c r="G1" t="s">
        <v>1100</v>
      </c>
      <c r="H1" s="252" t="s">
        <v>1164</v>
      </c>
    </row>
    <row r="2" spans="1:10" x14ac:dyDescent="0.25">
      <c r="A2">
        <v>1</v>
      </c>
      <c r="B2">
        <v>20142</v>
      </c>
      <c r="C2" t="s">
        <v>1220</v>
      </c>
      <c r="D2">
        <v>17002</v>
      </c>
      <c r="E2">
        <v>2320</v>
      </c>
      <c r="F2">
        <v>2010</v>
      </c>
      <c r="H2" s="252">
        <v>-20424</v>
      </c>
    </row>
    <row r="3" spans="1:10" x14ac:dyDescent="0.25">
      <c r="A3">
        <v>2</v>
      </c>
      <c r="B3">
        <v>20269</v>
      </c>
      <c r="C3" t="s">
        <v>1221</v>
      </c>
      <c r="D3">
        <v>17002</v>
      </c>
      <c r="E3">
        <v>2330</v>
      </c>
      <c r="F3">
        <v>2010</v>
      </c>
      <c r="H3" s="252">
        <v>-5408</v>
      </c>
    </row>
    <row r="4" spans="1:10" x14ac:dyDescent="0.25">
      <c r="A4">
        <v>2</v>
      </c>
      <c r="B4">
        <v>20284</v>
      </c>
      <c r="C4" t="s">
        <v>1222</v>
      </c>
      <c r="D4">
        <v>17002</v>
      </c>
      <c r="E4">
        <v>2330</v>
      </c>
      <c r="F4">
        <v>2010</v>
      </c>
      <c r="H4" s="252">
        <v>-8685</v>
      </c>
    </row>
    <row r="5" spans="1:10" x14ac:dyDescent="0.25">
      <c r="A5">
        <v>2</v>
      </c>
      <c r="B5">
        <v>20284</v>
      </c>
      <c r="C5" t="s">
        <v>1223</v>
      </c>
      <c r="D5">
        <v>17002</v>
      </c>
      <c r="E5">
        <v>2330</v>
      </c>
      <c r="F5">
        <v>2010</v>
      </c>
      <c r="H5" s="252">
        <v>-8685</v>
      </c>
    </row>
    <row r="6" spans="1:10" x14ac:dyDescent="0.25">
      <c r="A6">
        <v>4</v>
      </c>
      <c r="B6">
        <v>20628</v>
      </c>
      <c r="C6" t="s">
        <v>1224</v>
      </c>
      <c r="D6">
        <v>17002</v>
      </c>
      <c r="E6">
        <v>2320</v>
      </c>
      <c r="F6">
        <v>2010</v>
      </c>
      <c r="H6" s="252">
        <v>-21201</v>
      </c>
    </row>
    <row r="7" spans="1:10" x14ac:dyDescent="0.25">
      <c r="A7">
        <v>9</v>
      </c>
      <c r="B7">
        <v>21475</v>
      </c>
      <c r="C7" t="s">
        <v>1225</v>
      </c>
      <c r="D7">
        <v>17002</v>
      </c>
      <c r="E7">
        <v>2320</v>
      </c>
      <c r="F7">
        <v>2010</v>
      </c>
      <c r="H7" s="252">
        <v>-7067</v>
      </c>
      <c r="J7" s="326" t="s">
        <v>1231</v>
      </c>
    </row>
    <row r="8" spans="1:10" x14ac:dyDescent="0.25">
      <c r="A8">
        <v>9</v>
      </c>
      <c r="B8">
        <v>21475</v>
      </c>
      <c r="C8" t="s">
        <v>1226</v>
      </c>
      <c r="D8">
        <v>17002</v>
      </c>
      <c r="E8">
        <v>2320</v>
      </c>
      <c r="F8">
        <v>2010</v>
      </c>
      <c r="G8">
        <v>10135</v>
      </c>
      <c r="H8" s="252">
        <v>-7067</v>
      </c>
    </row>
    <row r="9" spans="1:10" x14ac:dyDescent="0.25">
      <c r="A9">
        <v>10</v>
      </c>
      <c r="B9">
        <v>21776</v>
      </c>
      <c r="C9" t="s">
        <v>1227</v>
      </c>
      <c r="D9">
        <v>17002</v>
      </c>
      <c r="E9">
        <v>2320</v>
      </c>
      <c r="F9">
        <v>2010</v>
      </c>
      <c r="H9" s="252">
        <v>-7067</v>
      </c>
    </row>
    <row r="10" spans="1:10" x14ac:dyDescent="0.25">
      <c r="A10">
        <v>11</v>
      </c>
      <c r="B10">
        <v>21966</v>
      </c>
      <c r="C10" t="s">
        <v>1228</v>
      </c>
      <c r="D10">
        <v>17002</v>
      </c>
      <c r="E10">
        <v>2320</v>
      </c>
      <c r="F10">
        <v>2010</v>
      </c>
      <c r="H10" s="252">
        <v>-7067</v>
      </c>
    </row>
    <row r="11" spans="1:10" x14ac:dyDescent="0.25">
      <c r="A11">
        <v>12</v>
      </c>
      <c r="B11">
        <v>22174</v>
      </c>
      <c r="C11" t="s">
        <v>1229</v>
      </c>
      <c r="D11">
        <v>17002</v>
      </c>
      <c r="E11">
        <v>2320</v>
      </c>
      <c r="F11">
        <v>2010</v>
      </c>
      <c r="H11" s="252">
        <v>-7067</v>
      </c>
    </row>
    <row r="12" spans="1:10" x14ac:dyDescent="0.25">
      <c r="H12" s="327">
        <f>SUM(H2:H11)</f>
        <v>-99738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FCA47-8059-4321-92C4-4FAAD27AC0C0}">
  <sheetPr>
    <tabColor rgb="FFFF0000"/>
  </sheetPr>
  <dimension ref="A1:I105"/>
  <sheetViews>
    <sheetView workbookViewId="0">
      <selection activeCell="K53" sqref="K53"/>
    </sheetView>
  </sheetViews>
  <sheetFormatPr baseColWidth="10" defaultRowHeight="15" x14ac:dyDescent="0.25"/>
  <cols>
    <col min="1" max="2" width="11.42578125" style="297"/>
    <col min="3" max="3" width="55" style="297" bestFit="1" customWidth="1"/>
    <col min="4" max="8" width="11.42578125" style="297"/>
    <col min="9" max="9" width="11.42578125" style="298"/>
    <col min="10" max="16384" width="11.42578125" style="297"/>
  </cols>
  <sheetData>
    <row r="1" spans="1:9" s="289" customFormat="1" x14ac:dyDescent="0.25">
      <c r="A1" s="289" t="s">
        <v>1097</v>
      </c>
      <c r="B1" s="289" t="s">
        <v>1098</v>
      </c>
      <c r="C1" s="289" t="s">
        <v>1099</v>
      </c>
      <c r="D1" s="289" t="s">
        <v>1163</v>
      </c>
      <c r="E1" s="289" t="s">
        <v>78</v>
      </c>
      <c r="F1" s="289" t="s">
        <v>74</v>
      </c>
      <c r="G1" s="289" t="s">
        <v>76</v>
      </c>
      <c r="H1" s="289" t="s">
        <v>1100</v>
      </c>
      <c r="I1" s="290" t="s">
        <v>1164</v>
      </c>
    </row>
    <row r="2" spans="1:9" s="289" customFormat="1" x14ac:dyDescent="0.25">
      <c r="A2" s="297">
        <v>11</v>
      </c>
      <c r="B2" s="297">
        <v>300015</v>
      </c>
      <c r="C2" s="297" t="s">
        <v>1196</v>
      </c>
      <c r="D2" s="297">
        <v>108</v>
      </c>
      <c r="E2" s="297">
        <v>11707</v>
      </c>
      <c r="F2" s="297">
        <v>2010</v>
      </c>
      <c r="G2" s="297">
        <v>2010</v>
      </c>
      <c r="H2" s="297">
        <v>12297</v>
      </c>
      <c r="I2" s="298">
        <v>160</v>
      </c>
    </row>
    <row r="3" spans="1:9" s="289" customFormat="1" x14ac:dyDescent="0.25">
      <c r="A3" s="297">
        <v>11</v>
      </c>
      <c r="B3" s="297">
        <v>300015</v>
      </c>
      <c r="C3" s="297" t="s">
        <v>1196</v>
      </c>
      <c r="D3" s="297">
        <v>803</v>
      </c>
      <c r="E3" s="297">
        <v>11707</v>
      </c>
      <c r="F3" s="297">
        <v>2010</v>
      </c>
      <c r="G3" s="297">
        <v>2010</v>
      </c>
      <c r="H3" s="297">
        <v>12297</v>
      </c>
      <c r="I3" s="298">
        <v>1373.21</v>
      </c>
    </row>
    <row r="4" spans="1:9" s="289" customFormat="1" x14ac:dyDescent="0.25">
      <c r="A4" s="297">
        <v>12</v>
      </c>
      <c r="B4" s="297">
        <v>22665</v>
      </c>
      <c r="C4" s="297" t="s">
        <v>1198</v>
      </c>
      <c r="D4" s="297">
        <v>108</v>
      </c>
      <c r="E4" s="297">
        <v>11707</v>
      </c>
      <c r="F4" s="297">
        <v>2010</v>
      </c>
      <c r="G4" s="297">
        <v>2010</v>
      </c>
      <c r="H4" s="297">
        <v>12297</v>
      </c>
      <c r="I4" s="298">
        <v>-160</v>
      </c>
    </row>
    <row r="5" spans="1:9" s="289" customFormat="1" x14ac:dyDescent="0.25">
      <c r="A5" s="297">
        <v>12</v>
      </c>
      <c r="B5" s="297">
        <v>22665</v>
      </c>
      <c r="C5" s="297" t="s">
        <v>1198</v>
      </c>
      <c r="D5" s="297">
        <v>801</v>
      </c>
      <c r="E5" s="297">
        <v>11707</v>
      </c>
      <c r="F5" s="297">
        <v>2010</v>
      </c>
      <c r="G5" s="297">
        <v>2010</v>
      </c>
      <c r="H5" s="297">
        <v>12297</v>
      </c>
      <c r="I5" s="298">
        <v>160</v>
      </c>
    </row>
    <row r="6" spans="1:9" s="289" customFormat="1" x14ac:dyDescent="0.25">
      <c r="A6" s="297">
        <v>12</v>
      </c>
      <c r="B6" s="297">
        <v>22751</v>
      </c>
      <c r="C6" s="297" t="s">
        <v>1152</v>
      </c>
      <c r="D6" s="297">
        <v>800</v>
      </c>
      <c r="E6" s="297">
        <v>11707</v>
      </c>
      <c r="F6" s="297">
        <v>2010</v>
      </c>
      <c r="G6" s="297">
        <v>2010</v>
      </c>
      <c r="H6" s="297">
        <v>12297</v>
      </c>
      <c r="I6" s="298">
        <v>-1533.21</v>
      </c>
    </row>
    <row r="7" spans="1:9" s="289" customFormat="1" x14ac:dyDescent="0.25">
      <c r="A7" s="297">
        <v>11</v>
      </c>
      <c r="B7" s="297">
        <v>300015</v>
      </c>
      <c r="C7" s="297" t="s">
        <v>1197</v>
      </c>
      <c r="D7" s="297">
        <v>0</v>
      </c>
      <c r="E7" s="297">
        <v>14290</v>
      </c>
      <c r="F7" s="297">
        <v>2010</v>
      </c>
      <c r="G7" s="297">
        <v>2010</v>
      </c>
      <c r="H7" s="297">
        <v>12297</v>
      </c>
      <c r="I7" s="298">
        <v>164.79</v>
      </c>
    </row>
    <row r="8" spans="1:9" s="289" customFormat="1" x14ac:dyDescent="0.25">
      <c r="A8" s="297">
        <v>12</v>
      </c>
      <c r="B8" s="297">
        <v>22665</v>
      </c>
      <c r="C8" s="297" t="s">
        <v>1200</v>
      </c>
      <c r="D8" s="297">
        <v>0</v>
      </c>
      <c r="E8" s="297">
        <v>14290</v>
      </c>
      <c r="F8" s="297">
        <v>2010</v>
      </c>
      <c r="G8" s="297">
        <v>2010</v>
      </c>
      <c r="H8" s="297">
        <v>12297</v>
      </c>
      <c r="I8" s="298">
        <v>40</v>
      </c>
    </row>
    <row r="9" spans="1:9" s="289" customFormat="1" x14ac:dyDescent="0.25">
      <c r="A9" s="297">
        <v>12</v>
      </c>
      <c r="B9" s="297">
        <v>22751</v>
      </c>
      <c r="C9" s="297" t="s">
        <v>1152</v>
      </c>
      <c r="D9" s="297">
        <v>0</v>
      </c>
      <c r="E9" s="297">
        <v>14290</v>
      </c>
      <c r="F9" s="297">
        <v>2010</v>
      </c>
      <c r="G9" s="297">
        <v>2010</v>
      </c>
      <c r="H9" s="297">
        <v>12297</v>
      </c>
      <c r="I9" s="298">
        <v>-204.79</v>
      </c>
    </row>
    <row r="10" spans="1:9" s="289" customFormat="1" x14ac:dyDescent="0.25">
      <c r="A10" s="297">
        <v>11</v>
      </c>
      <c r="B10" s="297">
        <v>300015</v>
      </c>
      <c r="C10" s="297" t="s">
        <v>1197</v>
      </c>
      <c r="D10" s="297">
        <v>0</v>
      </c>
      <c r="E10" s="297">
        <v>17290</v>
      </c>
      <c r="F10" s="297">
        <v>2010</v>
      </c>
      <c r="G10" s="297">
        <v>2010</v>
      </c>
      <c r="H10" s="297">
        <v>12297</v>
      </c>
      <c r="I10" s="298">
        <v>-164.79</v>
      </c>
    </row>
    <row r="11" spans="1:9" s="289" customFormat="1" x14ac:dyDescent="0.25">
      <c r="A11" s="297">
        <v>12</v>
      </c>
      <c r="B11" s="297">
        <v>22665</v>
      </c>
      <c r="C11" s="297" t="s">
        <v>1200</v>
      </c>
      <c r="D11" s="297">
        <v>0</v>
      </c>
      <c r="E11" s="297">
        <v>17290</v>
      </c>
      <c r="F11" s="297">
        <v>2010</v>
      </c>
      <c r="G11" s="297">
        <v>2010</v>
      </c>
      <c r="H11" s="297">
        <v>12297</v>
      </c>
      <c r="I11" s="298">
        <v>-40</v>
      </c>
    </row>
    <row r="12" spans="1:9" s="289" customFormat="1" x14ac:dyDescent="0.25">
      <c r="A12" s="297">
        <v>12</v>
      </c>
      <c r="B12" s="297">
        <v>22751</v>
      </c>
      <c r="C12" s="297" t="s">
        <v>1152</v>
      </c>
      <c r="D12" s="297">
        <v>0</v>
      </c>
      <c r="E12" s="297">
        <v>17290</v>
      </c>
      <c r="F12" s="297">
        <v>2010</v>
      </c>
      <c r="G12" s="297">
        <v>2010</v>
      </c>
      <c r="H12" s="297">
        <v>12297</v>
      </c>
      <c r="I12" s="298">
        <v>204.79</v>
      </c>
    </row>
    <row r="13" spans="1:9" s="289" customFormat="1" x14ac:dyDescent="0.25">
      <c r="A13" s="289">
        <v>12</v>
      </c>
      <c r="B13" s="289">
        <v>22482</v>
      </c>
      <c r="C13" s="289" t="s">
        <v>1190</v>
      </c>
      <c r="D13" s="289">
        <v>0</v>
      </c>
      <c r="E13" s="289">
        <v>10209</v>
      </c>
      <c r="F13" s="289">
        <v>2300</v>
      </c>
      <c r="G13" s="289">
        <v>2010</v>
      </c>
      <c r="H13" s="289">
        <v>11221</v>
      </c>
      <c r="I13" s="290">
        <v>-29.9</v>
      </c>
    </row>
    <row r="14" spans="1:9" s="289" customFormat="1" x14ac:dyDescent="0.25">
      <c r="A14" s="297">
        <v>12</v>
      </c>
      <c r="B14" s="297">
        <v>300028</v>
      </c>
      <c r="C14" s="297" t="s">
        <v>1204</v>
      </c>
      <c r="D14" s="297">
        <v>0</v>
      </c>
      <c r="E14" s="297">
        <v>10209</v>
      </c>
      <c r="F14" s="297">
        <v>2300</v>
      </c>
      <c r="G14" s="297">
        <v>2010</v>
      </c>
      <c r="H14" s="297">
        <v>12297</v>
      </c>
      <c r="I14" s="298">
        <v>160</v>
      </c>
    </row>
    <row r="15" spans="1:9" s="289" customFormat="1" x14ac:dyDescent="0.25">
      <c r="A15" s="297">
        <v>12</v>
      </c>
      <c r="B15" s="297">
        <v>300029</v>
      </c>
      <c r="C15" s="297" t="s">
        <v>1204</v>
      </c>
      <c r="D15" s="297">
        <v>0</v>
      </c>
      <c r="E15" s="297">
        <v>10209</v>
      </c>
      <c r="F15" s="297">
        <v>2300</v>
      </c>
      <c r="G15" s="297">
        <v>2010</v>
      </c>
      <c r="H15" s="297">
        <v>12297</v>
      </c>
      <c r="I15" s="298">
        <v>-2097</v>
      </c>
    </row>
    <row r="16" spans="1:9" s="289" customFormat="1" x14ac:dyDescent="0.25">
      <c r="A16" s="297">
        <v>12</v>
      </c>
      <c r="B16" s="297">
        <v>300030</v>
      </c>
      <c r="C16" s="297" t="s">
        <v>1205</v>
      </c>
      <c r="D16" s="297">
        <v>0</v>
      </c>
      <c r="E16" s="297">
        <v>10209</v>
      </c>
      <c r="F16" s="297">
        <v>2300</v>
      </c>
      <c r="G16" s="297">
        <v>2010</v>
      </c>
      <c r="H16" s="297">
        <v>12297</v>
      </c>
      <c r="I16" s="298">
        <v>2097</v>
      </c>
    </row>
    <row r="17" spans="1:9" s="289" customFormat="1" x14ac:dyDescent="0.25">
      <c r="A17" s="289">
        <v>7</v>
      </c>
      <c r="B17" s="289">
        <v>300007</v>
      </c>
      <c r="C17" s="289" t="s">
        <v>1180</v>
      </c>
      <c r="D17" s="289">
        <v>0</v>
      </c>
      <c r="E17" s="289">
        <v>10509</v>
      </c>
      <c r="F17" s="289">
        <v>2300</v>
      </c>
      <c r="G17" s="289">
        <v>2010</v>
      </c>
      <c r="H17" s="289">
        <v>11221</v>
      </c>
      <c r="I17" s="290">
        <v>204</v>
      </c>
    </row>
    <row r="18" spans="1:9" s="289" customFormat="1" x14ac:dyDescent="0.25">
      <c r="A18" s="289">
        <v>7</v>
      </c>
      <c r="B18" s="289">
        <v>300007</v>
      </c>
      <c r="C18" s="289" t="s">
        <v>1182</v>
      </c>
      <c r="D18" s="289">
        <v>0</v>
      </c>
      <c r="E18" s="289">
        <v>10990</v>
      </c>
      <c r="F18" s="289">
        <v>2300</v>
      </c>
      <c r="G18" s="289">
        <v>2010</v>
      </c>
      <c r="H18" s="289">
        <v>11221</v>
      </c>
      <c r="I18" s="290">
        <v>28.76</v>
      </c>
    </row>
    <row r="19" spans="1:9" s="289" customFormat="1" x14ac:dyDescent="0.25">
      <c r="A19" s="289">
        <v>1</v>
      </c>
      <c r="B19" s="289">
        <v>300001</v>
      </c>
      <c r="C19" s="289" t="s">
        <v>1165</v>
      </c>
      <c r="D19" s="289">
        <v>801</v>
      </c>
      <c r="E19" s="289">
        <v>11000</v>
      </c>
      <c r="F19" s="289">
        <v>2300</v>
      </c>
      <c r="G19" s="289">
        <v>2010</v>
      </c>
      <c r="H19" s="289">
        <v>11221</v>
      </c>
      <c r="I19" s="290">
        <v>23.92</v>
      </c>
    </row>
    <row r="20" spans="1:9" s="289" customFormat="1" x14ac:dyDescent="0.25">
      <c r="A20" s="289">
        <v>4</v>
      </c>
      <c r="B20" s="289">
        <v>113583</v>
      </c>
      <c r="C20" s="289" t="s">
        <v>1170</v>
      </c>
      <c r="D20" s="289">
        <v>800</v>
      </c>
      <c r="E20" s="289">
        <v>11151</v>
      </c>
      <c r="F20" s="289">
        <v>2300</v>
      </c>
      <c r="G20" s="289">
        <v>2010</v>
      </c>
      <c r="H20" s="289">
        <v>11221</v>
      </c>
      <c r="I20" s="290">
        <v>17868</v>
      </c>
    </row>
    <row r="21" spans="1:9" s="289" customFormat="1" x14ac:dyDescent="0.25">
      <c r="A21" s="289">
        <v>5</v>
      </c>
      <c r="B21" s="289">
        <v>116905</v>
      </c>
      <c r="C21" s="289" t="s">
        <v>1175</v>
      </c>
      <c r="D21" s="289">
        <v>800</v>
      </c>
      <c r="E21" s="289">
        <v>11151</v>
      </c>
      <c r="F21" s="289">
        <v>2300</v>
      </c>
      <c r="G21" s="289">
        <v>2010</v>
      </c>
      <c r="H21" s="289">
        <v>11221</v>
      </c>
      <c r="I21" s="290">
        <v>1025</v>
      </c>
    </row>
    <row r="22" spans="1:9" s="289" customFormat="1" x14ac:dyDescent="0.25">
      <c r="A22" s="289">
        <v>4</v>
      </c>
      <c r="B22" s="289">
        <v>113953</v>
      </c>
      <c r="C22" s="289" t="s">
        <v>1169</v>
      </c>
      <c r="D22" s="289">
        <v>800</v>
      </c>
      <c r="E22" s="289">
        <v>11200</v>
      </c>
      <c r="F22" s="289">
        <v>2300</v>
      </c>
      <c r="G22" s="289">
        <v>2010</v>
      </c>
      <c r="H22" s="289">
        <v>11221</v>
      </c>
      <c r="I22" s="290">
        <v>13867.73</v>
      </c>
    </row>
    <row r="23" spans="1:9" s="289" customFormat="1" x14ac:dyDescent="0.25">
      <c r="A23" s="289">
        <v>3</v>
      </c>
      <c r="B23" s="289">
        <v>20579</v>
      </c>
      <c r="C23" s="289" t="s">
        <v>1167</v>
      </c>
      <c r="D23" s="289">
        <v>800</v>
      </c>
      <c r="E23" s="289">
        <v>11500</v>
      </c>
      <c r="F23" s="289">
        <v>2300</v>
      </c>
      <c r="G23" s="289">
        <v>2010</v>
      </c>
      <c r="H23" s="289">
        <v>11221</v>
      </c>
      <c r="I23" s="290">
        <v>50107.4</v>
      </c>
    </row>
    <row r="24" spans="1:9" s="289" customFormat="1" x14ac:dyDescent="0.25">
      <c r="A24" s="289">
        <v>5</v>
      </c>
      <c r="B24" s="289">
        <v>20786</v>
      </c>
      <c r="C24" s="289" t="s">
        <v>1173</v>
      </c>
      <c r="D24" s="289">
        <v>800</v>
      </c>
      <c r="E24" s="289">
        <v>11500</v>
      </c>
      <c r="F24" s="289">
        <v>2300</v>
      </c>
      <c r="G24" s="289">
        <v>2010</v>
      </c>
      <c r="H24" s="289">
        <v>11221</v>
      </c>
      <c r="I24" s="290">
        <v>33235.15</v>
      </c>
    </row>
    <row r="25" spans="1:9" s="289" customFormat="1" x14ac:dyDescent="0.25">
      <c r="A25" s="289">
        <v>7</v>
      </c>
      <c r="B25" s="289">
        <v>300007</v>
      </c>
      <c r="C25" s="289" t="s">
        <v>1180</v>
      </c>
      <c r="D25" s="289">
        <v>100</v>
      </c>
      <c r="E25" s="289">
        <v>11600</v>
      </c>
      <c r="F25" s="289">
        <v>2300</v>
      </c>
      <c r="G25" s="289">
        <v>2010</v>
      </c>
      <c r="H25" s="289">
        <v>11221</v>
      </c>
      <c r="I25" s="290">
        <v>612</v>
      </c>
    </row>
    <row r="26" spans="1:9" s="289" customFormat="1" x14ac:dyDescent="0.25">
      <c r="A26" s="289">
        <v>3</v>
      </c>
      <c r="B26" s="289">
        <v>112309</v>
      </c>
      <c r="C26" s="289" t="s">
        <v>1169</v>
      </c>
      <c r="D26" s="289">
        <v>800</v>
      </c>
      <c r="E26" s="289">
        <v>11700</v>
      </c>
      <c r="F26" s="289">
        <v>2300</v>
      </c>
      <c r="G26" s="289">
        <v>2010</v>
      </c>
      <c r="H26" s="289">
        <v>11221</v>
      </c>
      <c r="I26" s="290">
        <v>17762</v>
      </c>
    </row>
    <row r="27" spans="1:9" s="289" customFormat="1" x14ac:dyDescent="0.25">
      <c r="A27" s="289">
        <v>3</v>
      </c>
      <c r="B27" s="289">
        <v>112309</v>
      </c>
      <c r="C27" s="289" t="s">
        <v>1169</v>
      </c>
      <c r="D27" s="289">
        <v>800</v>
      </c>
      <c r="E27" s="289">
        <v>11700</v>
      </c>
      <c r="F27" s="289">
        <v>2300</v>
      </c>
      <c r="G27" s="289">
        <v>2010</v>
      </c>
      <c r="H27" s="289">
        <v>11221</v>
      </c>
      <c r="I27" s="290">
        <v>58976</v>
      </c>
    </row>
    <row r="28" spans="1:9" s="289" customFormat="1" x14ac:dyDescent="0.25">
      <c r="A28" s="289">
        <v>4</v>
      </c>
      <c r="B28" s="289">
        <v>300004</v>
      </c>
      <c r="C28" s="289" t="s">
        <v>1171</v>
      </c>
      <c r="D28" s="289">
        <v>803</v>
      </c>
      <c r="E28" s="289">
        <v>11707</v>
      </c>
      <c r="F28" s="289">
        <v>2300</v>
      </c>
      <c r="G28" s="289">
        <v>2010</v>
      </c>
      <c r="H28" s="289">
        <v>11221</v>
      </c>
      <c r="I28" s="290">
        <v>33594.639999999999</v>
      </c>
    </row>
    <row r="29" spans="1:9" s="289" customFormat="1" x14ac:dyDescent="0.25">
      <c r="A29" s="289">
        <v>6</v>
      </c>
      <c r="B29" s="289">
        <v>21360</v>
      </c>
      <c r="C29" s="289" t="s">
        <v>1176</v>
      </c>
      <c r="D29" s="289">
        <v>108</v>
      </c>
      <c r="E29" s="289">
        <v>11707</v>
      </c>
      <c r="F29" s="289">
        <v>2300</v>
      </c>
      <c r="G29" s="289">
        <v>2010</v>
      </c>
      <c r="H29" s="289">
        <v>11221</v>
      </c>
      <c r="I29" s="290">
        <v>-2534.3200000000002</v>
      </c>
    </row>
    <row r="30" spans="1:9" s="289" customFormat="1" x14ac:dyDescent="0.25">
      <c r="A30" s="289">
        <v>6</v>
      </c>
      <c r="B30" s="289">
        <v>21360</v>
      </c>
      <c r="C30" s="289" t="s">
        <v>1176</v>
      </c>
      <c r="D30" s="289">
        <v>801</v>
      </c>
      <c r="E30" s="289">
        <v>11707</v>
      </c>
      <c r="F30" s="289">
        <v>2300</v>
      </c>
      <c r="G30" s="289">
        <v>2010</v>
      </c>
      <c r="H30" s="289">
        <v>11221</v>
      </c>
      <c r="I30" s="290">
        <v>2534.3200000000002</v>
      </c>
    </row>
    <row r="31" spans="1:9" s="289" customFormat="1" x14ac:dyDescent="0.25">
      <c r="A31" s="289">
        <v>6</v>
      </c>
      <c r="B31" s="289">
        <v>300006</v>
      </c>
      <c r="C31" s="289" t="s">
        <v>1178</v>
      </c>
      <c r="D31" s="289">
        <v>108</v>
      </c>
      <c r="E31" s="289">
        <v>11707</v>
      </c>
      <c r="F31" s="289">
        <v>2300</v>
      </c>
      <c r="G31" s="289">
        <v>2010</v>
      </c>
      <c r="H31" s="289">
        <v>11221</v>
      </c>
      <c r="I31" s="290">
        <v>2534.3200000000002</v>
      </c>
    </row>
    <row r="32" spans="1:9" s="289" customFormat="1" x14ac:dyDescent="0.25">
      <c r="A32" s="289">
        <v>6</v>
      </c>
      <c r="B32" s="289">
        <v>300006</v>
      </c>
      <c r="C32" s="289" t="s">
        <v>1178</v>
      </c>
      <c r="D32" s="289">
        <v>803</v>
      </c>
      <c r="E32" s="289">
        <v>11707</v>
      </c>
      <c r="F32" s="289">
        <v>2300</v>
      </c>
      <c r="G32" s="289">
        <v>2010</v>
      </c>
      <c r="H32" s="289">
        <v>11221</v>
      </c>
      <c r="I32" s="290">
        <v>407.14</v>
      </c>
    </row>
    <row r="33" spans="1:9" s="289" customFormat="1" x14ac:dyDescent="0.25">
      <c r="A33" s="289">
        <v>7</v>
      </c>
      <c r="B33" s="289">
        <v>300007</v>
      </c>
      <c r="C33" s="289" t="s">
        <v>1180</v>
      </c>
      <c r="D33" s="289">
        <v>108</v>
      </c>
      <c r="E33" s="289">
        <v>11707</v>
      </c>
      <c r="F33" s="289">
        <v>2300</v>
      </c>
      <c r="G33" s="289">
        <v>2010</v>
      </c>
      <c r="H33" s="289">
        <v>11221</v>
      </c>
      <c r="I33" s="290">
        <v>535.91999999999996</v>
      </c>
    </row>
    <row r="34" spans="1:9" s="289" customFormat="1" x14ac:dyDescent="0.25">
      <c r="A34" s="289">
        <v>7</v>
      </c>
      <c r="B34" s="289">
        <v>300007</v>
      </c>
      <c r="C34" s="289" t="s">
        <v>1180</v>
      </c>
      <c r="D34" s="289">
        <v>801</v>
      </c>
      <c r="E34" s="289">
        <v>11707</v>
      </c>
      <c r="F34" s="289">
        <v>2300</v>
      </c>
      <c r="G34" s="289">
        <v>2010</v>
      </c>
      <c r="H34" s="289">
        <v>11221</v>
      </c>
      <c r="I34" s="290">
        <v>559.20000000000005</v>
      </c>
    </row>
    <row r="35" spans="1:9" s="289" customFormat="1" x14ac:dyDescent="0.25">
      <c r="A35" s="289">
        <v>8</v>
      </c>
      <c r="B35" s="289">
        <v>21676</v>
      </c>
      <c r="C35" s="289" t="s">
        <v>1183</v>
      </c>
      <c r="D35" s="289">
        <v>108</v>
      </c>
      <c r="E35" s="289">
        <v>11707</v>
      </c>
      <c r="F35" s="289">
        <v>2300</v>
      </c>
      <c r="G35" s="289">
        <v>2010</v>
      </c>
      <c r="H35" s="289">
        <v>11221</v>
      </c>
      <c r="I35" s="290">
        <v>-535.91999999999996</v>
      </c>
    </row>
    <row r="36" spans="1:9" s="289" customFormat="1" x14ac:dyDescent="0.25">
      <c r="A36" s="289">
        <v>8</v>
      </c>
      <c r="B36" s="289">
        <v>21676</v>
      </c>
      <c r="C36" s="289" t="s">
        <v>1183</v>
      </c>
      <c r="D36" s="289">
        <v>801</v>
      </c>
      <c r="E36" s="289">
        <v>11707</v>
      </c>
      <c r="F36" s="289">
        <v>2300</v>
      </c>
      <c r="G36" s="289">
        <v>2010</v>
      </c>
      <c r="H36" s="289">
        <v>11221</v>
      </c>
      <c r="I36" s="290">
        <v>535.91999999999996</v>
      </c>
    </row>
    <row r="37" spans="1:9" s="289" customFormat="1" x14ac:dyDescent="0.25">
      <c r="A37" s="289">
        <v>10</v>
      </c>
      <c r="B37" s="289">
        <v>22106</v>
      </c>
      <c r="C37" s="289" t="s">
        <v>1186</v>
      </c>
      <c r="D37" s="289">
        <v>108</v>
      </c>
      <c r="E37" s="289">
        <v>11707</v>
      </c>
      <c r="F37" s="289">
        <v>2300</v>
      </c>
      <c r="G37" s="289">
        <v>2010</v>
      </c>
      <c r="H37" s="289">
        <v>11221</v>
      </c>
      <c r="I37" s="290">
        <v>3129.68</v>
      </c>
    </row>
    <row r="38" spans="1:9" s="289" customFormat="1" x14ac:dyDescent="0.25">
      <c r="A38" s="289">
        <v>10</v>
      </c>
      <c r="B38" s="289">
        <v>22106</v>
      </c>
      <c r="C38" s="289" t="s">
        <v>1186</v>
      </c>
      <c r="D38" s="289">
        <v>801</v>
      </c>
      <c r="E38" s="289">
        <v>11707</v>
      </c>
      <c r="F38" s="289">
        <v>2300</v>
      </c>
      <c r="G38" s="289">
        <v>2010</v>
      </c>
      <c r="H38" s="289">
        <v>11221</v>
      </c>
      <c r="I38" s="290">
        <v>-3129.68</v>
      </c>
    </row>
    <row r="39" spans="1:9" s="289" customFormat="1" x14ac:dyDescent="0.25">
      <c r="A39" s="289">
        <v>10</v>
      </c>
      <c r="B39" s="289">
        <v>300013</v>
      </c>
      <c r="C39" s="289" t="s">
        <v>1188</v>
      </c>
      <c r="D39" s="289">
        <v>108</v>
      </c>
      <c r="E39" s="289">
        <v>11707</v>
      </c>
      <c r="F39" s="289">
        <v>2300</v>
      </c>
      <c r="G39" s="289">
        <v>2010</v>
      </c>
      <c r="H39" s="289">
        <v>11221</v>
      </c>
      <c r="I39" s="290">
        <v>-3129.68</v>
      </c>
    </row>
    <row r="40" spans="1:9" s="289" customFormat="1" x14ac:dyDescent="0.25">
      <c r="A40" s="297">
        <v>12</v>
      </c>
      <c r="B40" s="297">
        <v>22665</v>
      </c>
      <c r="C40" s="297" t="s">
        <v>1199</v>
      </c>
      <c r="D40" s="297">
        <v>108</v>
      </c>
      <c r="E40" s="297">
        <v>11707</v>
      </c>
      <c r="F40" s="297">
        <v>2300</v>
      </c>
      <c r="G40" s="297">
        <v>2010</v>
      </c>
      <c r="H40" s="297">
        <v>12297</v>
      </c>
      <c r="I40" s="298">
        <v>-160</v>
      </c>
    </row>
    <row r="41" spans="1:9" s="289" customFormat="1" x14ac:dyDescent="0.25">
      <c r="A41" s="297">
        <v>12</v>
      </c>
      <c r="B41" s="297">
        <v>22665</v>
      </c>
      <c r="C41" s="297" t="s">
        <v>1199</v>
      </c>
      <c r="D41" s="297">
        <v>801</v>
      </c>
      <c r="E41" s="297">
        <v>11707</v>
      </c>
      <c r="F41" s="297">
        <v>2300</v>
      </c>
      <c r="G41" s="297">
        <v>2010</v>
      </c>
      <c r="H41" s="297">
        <v>12297</v>
      </c>
      <c r="I41" s="298">
        <v>160</v>
      </c>
    </row>
    <row r="42" spans="1:9" s="289" customFormat="1" x14ac:dyDescent="0.25">
      <c r="A42" s="297">
        <v>12</v>
      </c>
      <c r="B42" s="297">
        <v>300016</v>
      </c>
      <c r="C42" s="297" t="s">
        <v>1202</v>
      </c>
      <c r="D42" s="297">
        <v>108</v>
      </c>
      <c r="E42" s="297">
        <v>11707</v>
      </c>
      <c r="F42" s="297">
        <v>2300</v>
      </c>
      <c r="G42" s="297">
        <v>2010</v>
      </c>
      <c r="H42" s="297">
        <v>12297</v>
      </c>
      <c r="I42" s="298">
        <v>160</v>
      </c>
    </row>
    <row r="43" spans="1:9" s="289" customFormat="1" x14ac:dyDescent="0.25">
      <c r="A43" s="297">
        <v>12</v>
      </c>
      <c r="B43" s="297">
        <v>300016</v>
      </c>
      <c r="C43" s="297" t="s">
        <v>1202</v>
      </c>
      <c r="D43" s="297">
        <v>803</v>
      </c>
      <c r="E43" s="297">
        <v>11707</v>
      </c>
      <c r="F43" s="297">
        <v>2300</v>
      </c>
      <c r="G43" s="297">
        <v>2010</v>
      </c>
      <c r="H43" s="297">
        <v>12297</v>
      </c>
      <c r="I43" s="298">
        <v>1693.75</v>
      </c>
    </row>
    <row r="44" spans="1:9" s="289" customFormat="1" x14ac:dyDescent="0.25">
      <c r="A44" s="297">
        <v>10</v>
      </c>
      <c r="B44" s="297">
        <v>131333</v>
      </c>
      <c r="C44" s="297" t="s">
        <v>1193</v>
      </c>
      <c r="D44" s="297">
        <v>800</v>
      </c>
      <c r="E44" s="297">
        <v>11955</v>
      </c>
      <c r="F44" s="297">
        <v>2300</v>
      </c>
      <c r="G44" s="297">
        <v>2010</v>
      </c>
      <c r="H44" s="297">
        <v>12297</v>
      </c>
      <c r="I44" s="298">
        <v>9.2100000000000009</v>
      </c>
    </row>
    <row r="45" spans="1:9" s="289" customFormat="1" x14ac:dyDescent="0.25">
      <c r="A45" s="289">
        <v>12</v>
      </c>
      <c r="B45" s="289">
        <v>22638</v>
      </c>
      <c r="C45" s="289" t="s">
        <v>1149</v>
      </c>
      <c r="D45" s="289">
        <v>800</v>
      </c>
      <c r="E45" s="289">
        <v>13500</v>
      </c>
      <c r="F45" s="289">
        <v>2300</v>
      </c>
      <c r="G45" s="289">
        <v>2010</v>
      </c>
      <c r="H45" s="289">
        <v>11221</v>
      </c>
      <c r="I45" s="290">
        <v>220445</v>
      </c>
    </row>
    <row r="46" spans="1:9" s="289" customFormat="1" x14ac:dyDescent="0.25">
      <c r="A46" s="297">
        <v>12</v>
      </c>
      <c r="B46" s="297">
        <v>22638</v>
      </c>
      <c r="C46" s="297" t="s">
        <v>1150</v>
      </c>
      <c r="D46" s="297">
        <v>800</v>
      </c>
      <c r="E46" s="297">
        <v>13500</v>
      </c>
      <c r="F46" s="297">
        <v>2300</v>
      </c>
      <c r="G46" s="297">
        <v>2010</v>
      </c>
      <c r="H46" s="297">
        <v>12297</v>
      </c>
      <c r="I46" s="298">
        <v>359046</v>
      </c>
    </row>
    <row r="47" spans="1:9" s="289" customFormat="1" x14ac:dyDescent="0.25">
      <c r="A47" s="289">
        <v>1</v>
      </c>
      <c r="B47" s="289">
        <v>300001</v>
      </c>
      <c r="C47" s="289" t="s">
        <v>1166</v>
      </c>
      <c r="D47" s="289">
        <v>0</v>
      </c>
      <c r="E47" s="289">
        <v>14290</v>
      </c>
      <c r="F47" s="289">
        <v>2300</v>
      </c>
      <c r="G47" s="289">
        <v>2010</v>
      </c>
      <c r="H47" s="289">
        <v>11221</v>
      </c>
      <c r="I47" s="290">
        <v>5.98</v>
      </c>
    </row>
    <row r="48" spans="1:9" s="289" customFormat="1" x14ac:dyDescent="0.25">
      <c r="A48" s="289">
        <v>4</v>
      </c>
      <c r="B48" s="289">
        <v>300004</v>
      </c>
      <c r="C48" s="289" t="s">
        <v>1172</v>
      </c>
      <c r="D48" s="289">
        <v>0</v>
      </c>
      <c r="E48" s="289">
        <v>14290</v>
      </c>
      <c r="F48" s="289">
        <v>2300</v>
      </c>
      <c r="G48" s="289">
        <v>2010</v>
      </c>
      <c r="H48" s="289">
        <v>11221</v>
      </c>
      <c r="I48" s="290">
        <v>4031.36</v>
      </c>
    </row>
    <row r="49" spans="1:9" s="289" customFormat="1" x14ac:dyDescent="0.25">
      <c r="A49" s="289">
        <v>6</v>
      </c>
      <c r="B49" s="289">
        <v>21360</v>
      </c>
      <c r="C49" s="289" t="s">
        <v>1177</v>
      </c>
      <c r="D49" s="289">
        <v>0</v>
      </c>
      <c r="E49" s="289">
        <v>14290</v>
      </c>
      <c r="F49" s="289">
        <v>2300</v>
      </c>
      <c r="G49" s="289">
        <v>2010</v>
      </c>
      <c r="H49" s="289">
        <v>11221</v>
      </c>
      <c r="I49" s="290">
        <v>633.58000000000004</v>
      </c>
    </row>
    <row r="50" spans="1:9" s="289" customFormat="1" x14ac:dyDescent="0.25">
      <c r="A50" s="289">
        <v>6</v>
      </c>
      <c r="B50" s="289">
        <v>300006</v>
      </c>
      <c r="C50" s="289" t="s">
        <v>1179</v>
      </c>
      <c r="D50" s="289">
        <v>0</v>
      </c>
      <c r="E50" s="289">
        <v>14290</v>
      </c>
      <c r="F50" s="289">
        <v>2300</v>
      </c>
      <c r="G50" s="289">
        <v>2010</v>
      </c>
      <c r="H50" s="289">
        <v>11221</v>
      </c>
      <c r="I50" s="290">
        <v>48.86</v>
      </c>
    </row>
    <row r="51" spans="1:9" s="289" customFormat="1" x14ac:dyDescent="0.25">
      <c r="A51" s="289">
        <v>7</v>
      </c>
      <c r="B51" s="289">
        <v>300007</v>
      </c>
      <c r="C51" s="289" t="s">
        <v>1181</v>
      </c>
      <c r="D51" s="289">
        <v>0</v>
      </c>
      <c r="E51" s="289">
        <v>14290</v>
      </c>
      <c r="F51" s="289">
        <v>2300</v>
      </c>
      <c r="G51" s="289">
        <v>2010</v>
      </c>
      <c r="H51" s="289">
        <v>11221</v>
      </c>
      <c r="I51" s="290">
        <v>139.80000000000001</v>
      </c>
    </row>
    <row r="52" spans="1:9" s="289" customFormat="1" x14ac:dyDescent="0.25">
      <c r="A52" s="289">
        <v>8</v>
      </c>
      <c r="B52" s="289">
        <v>21676</v>
      </c>
      <c r="C52" s="289" t="s">
        <v>1184</v>
      </c>
      <c r="D52" s="289">
        <v>0</v>
      </c>
      <c r="E52" s="289">
        <v>14290</v>
      </c>
      <c r="F52" s="289">
        <v>2300</v>
      </c>
      <c r="G52" s="289">
        <v>2010</v>
      </c>
      <c r="H52" s="289">
        <v>11221</v>
      </c>
      <c r="I52" s="290">
        <v>133.97999999999999</v>
      </c>
    </row>
    <row r="53" spans="1:9" s="289" customFormat="1" x14ac:dyDescent="0.25">
      <c r="A53" s="289">
        <v>10</v>
      </c>
      <c r="B53" s="289">
        <v>22106</v>
      </c>
      <c r="C53" s="289" t="s">
        <v>1187</v>
      </c>
      <c r="D53" s="289">
        <v>0</v>
      </c>
      <c r="E53" s="289">
        <v>14290</v>
      </c>
      <c r="F53" s="289">
        <v>2300</v>
      </c>
      <c r="G53" s="289">
        <v>2010</v>
      </c>
      <c r="H53" s="289">
        <v>11221</v>
      </c>
      <c r="I53" s="290">
        <v>-782.42</v>
      </c>
    </row>
    <row r="54" spans="1:9" s="289" customFormat="1" x14ac:dyDescent="0.25">
      <c r="A54" s="297">
        <v>12</v>
      </c>
      <c r="B54" s="297">
        <v>22665</v>
      </c>
      <c r="C54" s="297" t="s">
        <v>1201</v>
      </c>
      <c r="D54" s="297">
        <v>0</v>
      </c>
      <c r="E54" s="297">
        <v>14290</v>
      </c>
      <c r="F54" s="297">
        <v>2300</v>
      </c>
      <c r="G54" s="297">
        <v>2010</v>
      </c>
      <c r="H54" s="297">
        <v>12297</v>
      </c>
      <c r="I54" s="298">
        <v>40</v>
      </c>
    </row>
    <row r="55" spans="1:9" s="289" customFormat="1" x14ac:dyDescent="0.25">
      <c r="A55" s="297">
        <v>12</v>
      </c>
      <c r="B55" s="297">
        <v>300016</v>
      </c>
      <c r="C55" s="297" t="s">
        <v>1203</v>
      </c>
      <c r="D55" s="297">
        <v>0</v>
      </c>
      <c r="E55" s="297">
        <v>14290</v>
      </c>
      <c r="F55" s="297">
        <v>2300</v>
      </c>
      <c r="G55" s="297">
        <v>2010</v>
      </c>
      <c r="H55" s="297">
        <v>12297</v>
      </c>
      <c r="I55" s="298">
        <v>203.25</v>
      </c>
    </row>
    <row r="56" spans="1:9" s="289" customFormat="1" x14ac:dyDescent="0.25">
      <c r="A56" s="289">
        <v>12</v>
      </c>
      <c r="B56" s="289">
        <v>22700</v>
      </c>
      <c r="C56" s="289" t="s">
        <v>1145</v>
      </c>
      <c r="D56" s="289">
        <v>100</v>
      </c>
      <c r="E56" s="289">
        <v>17000</v>
      </c>
      <c r="F56" s="289">
        <v>2300</v>
      </c>
      <c r="G56" s="289">
        <v>2010</v>
      </c>
      <c r="H56" s="289">
        <v>11221</v>
      </c>
      <c r="I56" s="290">
        <v>42183</v>
      </c>
    </row>
    <row r="57" spans="1:9" s="289" customFormat="1" x14ac:dyDescent="0.25">
      <c r="A57" s="289">
        <v>1</v>
      </c>
      <c r="B57" s="289">
        <v>300001</v>
      </c>
      <c r="C57" s="289" t="s">
        <v>1166</v>
      </c>
      <c r="D57" s="289">
        <v>0</v>
      </c>
      <c r="E57" s="289">
        <v>17290</v>
      </c>
      <c r="F57" s="289">
        <v>2300</v>
      </c>
      <c r="G57" s="289">
        <v>2010</v>
      </c>
      <c r="H57" s="289">
        <v>11221</v>
      </c>
      <c r="I57" s="290">
        <v>-5.98</v>
      </c>
    </row>
    <row r="58" spans="1:9" s="289" customFormat="1" x14ac:dyDescent="0.25">
      <c r="A58" s="289">
        <v>4</v>
      </c>
      <c r="B58" s="289">
        <v>300004</v>
      </c>
      <c r="C58" s="289" t="s">
        <v>1172</v>
      </c>
      <c r="D58" s="289">
        <v>0</v>
      </c>
      <c r="E58" s="289">
        <v>17290</v>
      </c>
      <c r="F58" s="289">
        <v>2300</v>
      </c>
      <c r="G58" s="289">
        <v>2010</v>
      </c>
      <c r="H58" s="289">
        <v>11221</v>
      </c>
      <c r="I58" s="290">
        <v>-4031.36</v>
      </c>
    </row>
    <row r="59" spans="1:9" s="289" customFormat="1" x14ac:dyDescent="0.25">
      <c r="A59" s="289">
        <v>6</v>
      </c>
      <c r="B59" s="289">
        <v>21360</v>
      </c>
      <c r="C59" s="289" t="s">
        <v>1177</v>
      </c>
      <c r="D59" s="289">
        <v>0</v>
      </c>
      <c r="E59" s="289">
        <v>17290</v>
      </c>
      <c r="F59" s="289">
        <v>2300</v>
      </c>
      <c r="G59" s="289">
        <v>2010</v>
      </c>
      <c r="H59" s="289">
        <v>11221</v>
      </c>
      <c r="I59" s="290">
        <v>-633.58000000000004</v>
      </c>
    </row>
    <row r="60" spans="1:9" s="289" customFormat="1" x14ac:dyDescent="0.25">
      <c r="A60" s="289">
        <v>6</v>
      </c>
      <c r="B60" s="289">
        <v>300006</v>
      </c>
      <c r="C60" s="289" t="s">
        <v>1179</v>
      </c>
      <c r="D60" s="289">
        <v>0</v>
      </c>
      <c r="E60" s="289">
        <v>17290</v>
      </c>
      <c r="F60" s="289">
        <v>2300</v>
      </c>
      <c r="G60" s="289">
        <v>2010</v>
      </c>
      <c r="H60" s="289">
        <v>11221</v>
      </c>
      <c r="I60" s="290">
        <v>-48.86</v>
      </c>
    </row>
    <row r="61" spans="1:9" s="289" customFormat="1" x14ac:dyDescent="0.25">
      <c r="A61" s="289">
        <v>7</v>
      </c>
      <c r="B61" s="289">
        <v>300007</v>
      </c>
      <c r="C61" s="289" t="s">
        <v>1181</v>
      </c>
      <c r="D61" s="289">
        <v>0</v>
      </c>
      <c r="E61" s="289">
        <v>17290</v>
      </c>
      <c r="F61" s="289">
        <v>2300</v>
      </c>
      <c r="G61" s="289">
        <v>2010</v>
      </c>
      <c r="H61" s="289">
        <v>11221</v>
      </c>
      <c r="I61" s="290">
        <v>-139.80000000000001</v>
      </c>
    </row>
    <row r="62" spans="1:9" s="289" customFormat="1" x14ac:dyDescent="0.25">
      <c r="A62" s="289">
        <v>8</v>
      </c>
      <c r="B62" s="289">
        <v>21676</v>
      </c>
      <c r="C62" s="289" t="s">
        <v>1184</v>
      </c>
      <c r="D62" s="289">
        <v>0</v>
      </c>
      <c r="E62" s="289">
        <v>17290</v>
      </c>
      <c r="F62" s="289">
        <v>2300</v>
      </c>
      <c r="G62" s="289">
        <v>2010</v>
      </c>
      <c r="H62" s="289">
        <v>11221</v>
      </c>
      <c r="I62" s="290">
        <v>-133.97999999999999</v>
      </c>
    </row>
    <row r="63" spans="1:9" s="289" customFormat="1" x14ac:dyDescent="0.25">
      <c r="A63" s="289">
        <v>10</v>
      </c>
      <c r="B63" s="289">
        <v>22106</v>
      </c>
      <c r="C63" s="289" t="s">
        <v>1187</v>
      </c>
      <c r="D63" s="289">
        <v>0</v>
      </c>
      <c r="E63" s="289">
        <v>17290</v>
      </c>
      <c r="F63" s="289">
        <v>2300</v>
      </c>
      <c r="G63" s="289">
        <v>2010</v>
      </c>
      <c r="H63" s="289">
        <v>11221</v>
      </c>
      <c r="I63" s="290">
        <v>782.42</v>
      </c>
    </row>
    <row r="64" spans="1:9" s="289" customFormat="1" x14ac:dyDescent="0.25">
      <c r="A64" s="297">
        <v>12</v>
      </c>
      <c r="B64" s="297">
        <v>22665</v>
      </c>
      <c r="C64" s="297" t="s">
        <v>1201</v>
      </c>
      <c r="D64" s="297">
        <v>0</v>
      </c>
      <c r="E64" s="297">
        <v>17290</v>
      </c>
      <c r="F64" s="297">
        <v>2300</v>
      </c>
      <c r="G64" s="297">
        <v>2010</v>
      </c>
      <c r="H64" s="297">
        <v>12297</v>
      </c>
      <c r="I64" s="298">
        <v>-40</v>
      </c>
    </row>
    <row r="65" spans="1:9" s="289" customFormat="1" x14ac:dyDescent="0.25">
      <c r="A65" s="297">
        <v>12</v>
      </c>
      <c r="B65" s="297">
        <v>300016</v>
      </c>
      <c r="C65" s="297" t="s">
        <v>1203</v>
      </c>
      <c r="D65" s="297">
        <v>0</v>
      </c>
      <c r="E65" s="297">
        <v>17290</v>
      </c>
      <c r="F65" s="297">
        <v>2300</v>
      </c>
      <c r="G65" s="297">
        <v>2010</v>
      </c>
      <c r="H65" s="297">
        <v>12297</v>
      </c>
      <c r="I65" s="298">
        <v>-203.25</v>
      </c>
    </row>
    <row r="66" spans="1:9" x14ac:dyDescent="0.25">
      <c r="A66" s="289">
        <v>5</v>
      </c>
      <c r="B66" s="289">
        <v>116598</v>
      </c>
      <c r="C66" s="289" t="s">
        <v>1174</v>
      </c>
      <c r="D66" s="289">
        <v>800</v>
      </c>
      <c r="E66" s="289">
        <v>11700</v>
      </c>
      <c r="F66" s="289">
        <v>2370</v>
      </c>
      <c r="G66" s="289">
        <v>2010</v>
      </c>
      <c r="H66" s="289">
        <v>11221</v>
      </c>
      <c r="I66" s="290">
        <v>-17762</v>
      </c>
    </row>
    <row r="67" spans="1:9" x14ac:dyDescent="0.25">
      <c r="A67" s="289">
        <v>8</v>
      </c>
      <c r="B67" s="289">
        <v>127542</v>
      </c>
      <c r="C67" s="289" t="s">
        <v>1169</v>
      </c>
      <c r="D67" s="289">
        <v>800</v>
      </c>
      <c r="E67" s="289">
        <v>11700</v>
      </c>
      <c r="F67" s="289">
        <v>2370</v>
      </c>
      <c r="G67" s="289">
        <v>2010</v>
      </c>
      <c r="H67" s="289">
        <v>11221</v>
      </c>
      <c r="I67" s="290">
        <v>7004</v>
      </c>
    </row>
    <row r="68" spans="1:9" x14ac:dyDescent="0.25">
      <c r="A68" s="289">
        <v>5</v>
      </c>
      <c r="B68" s="289">
        <v>116598</v>
      </c>
      <c r="C68" s="289" t="s">
        <v>1174</v>
      </c>
      <c r="D68" s="289">
        <v>800</v>
      </c>
      <c r="E68" s="289">
        <v>11950</v>
      </c>
      <c r="F68" s="289">
        <v>2370</v>
      </c>
      <c r="G68" s="289">
        <v>2010</v>
      </c>
      <c r="H68" s="289">
        <v>11221</v>
      </c>
      <c r="I68" s="290">
        <v>706.41</v>
      </c>
    </row>
    <row r="69" spans="1:9" s="289" customFormat="1" x14ac:dyDescent="0.25">
      <c r="A69" s="297"/>
      <c r="B69" s="297"/>
      <c r="C69" s="297"/>
      <c r="D69" s="297"/>
      <c r="E69" s="297"/>
      <c r="F69" s="297"/>
      <c r="G69" s="297"/>
      <c r="H69" s="297"/>
      <c r="I69" s="308">
        <f>SUM(I2:I68)</f>
        <v>841826.97000000009</v>
      </c>
    </row>
    <row r="70" spans="1:9" s="289" customFormat="1" x14ac:dyDescent="0.25">
      <c r="A70" s="297"/>
      <c r="B70" s="297"/>
      <c r="C70" s="297"/>
      <c r="D70" s="297"/>
      <c r="E70" s="297"/>
      <c r="F70" s="297"/>
      <c r="G70" s="297"/>
      <c r="H70" s="297"/>
      <c r="I70" s="298"/>
    </row>
    <row r="71" spans="1:9" s="289" customFormat="1" x14ac:dyDescent="0.25">
      <c r="A71" s="289">
        <v>6</v>
      </c>
      <c r="B71" s="289">
        <v>21360</v>
      </c>
      <c r="C71" s="289" t="s">
        <v>1176</v>
      </c>
      <c r="D71" s="289">
        <v>108</v>
      </c>
      <c r="E71" s="289">
        <v>11707</v>
      </c>
      <c r="F71" s="289">
        <v>2315</v>
      </c>
      <c r="G71" s="289">
        <v>2010</v>
      </c>
      <c r="H71" s="289">
        <v>11221</v>
      </c>
      <c r="I71" s="290">
        <v>-839.66</v>
      </c>
    </row>
    <row r="72" spans="1:9" s="289" customFormat="1" x14ac:dyDescent="0.25">
      <c r="A72" s="289">
        <v>6</v>
      </c>
      <c r="B72" s="289">
        <v>21360</v>
      </c>
      <c r="C72" s="289" t="s">
        <v>1176</v>
      </c>
      <c r="D72" s="289">
        <v>801</v>
      </c>
      <c r="E72" s="289">
        <v>11707</v>
      </c>
      <c r="F72" s="289">
        <v>2315</v>
      </c>
      <c r="G72" s="289">
        <v>2010</v>
      </c>
      <c r="H72" s="289">
        <v>11221</v>
      </c>
      <c r="I72" s="290">
        <v>839.66</v>
      </c>
    </row>
    <row r="73" spans="1:9" s="289" customFormat="1" x14ac:dyDescent="0.25">
      <c r="A73" s="289">
        <v>6</v>
      </c>
      <c r="B73" s="289">
        <v>300006</v>
      </c>
      <c r="C73" s="289" t="s">
        <v>1178</v>
      </c>
      <c r="D73" s="289">
        <v>108</v>
      </c>
      <c r="E73" s="289">
        <v>11707</v>
      </c>
      <c r="F73" s="289">
        <v>2315</v>
      </c>
      <c r="G73" s="289">
        <v>2010</v>
      </c>
      <c r="H73" s="289">
        <v>11221</v>
      </c>
      <c r="I73" s="290">
        <v>839.66</v>
      </c>
    </row>
    <row r="74" spans="1:9" x14ac:dyDescent="0.25">
      <c r="A74" s="289">
        <v>6</v>
      </c>
      <c r="B74" s="289">
        <v>300006</v>
      </c>
      <c r="C74" s="289" t="s">
        <v>1178</v>
      </c>
      <c r="D74" s="289">
        <v>803</v>
      </c>
      <c r="E74" s="289">
        <v>11707</v>
      </c>
      <c r="F74" s="289">
        <v>2315</v>
      </c>
      <c r="G74" s="289">
        <v>2010</v>
      </c>
      <c r="H74" s="289">
        <v>11221</v>
      </c>
      <c r="I74" s="290">
        <v>487.49</v>
      </c>
    </row>
    <row r="75" spans="1:9" x14ac:dyDescent="0.25">
      <c r="A75" s="289">
        <v>6</v>
      </c>
      <c r="B75" s="289">
        <v>21360</v>
      </c>
      <c r="C75" s="289" t="s">
        <v>1177</v>
      </c>
      <c r="D75" s="289">
        <v>0</v>
      </c>
      <c r="E75" s="289">
        <v>14290</v>
      </c>
      <c r="F75" s="289">
        <v>2315</v>
      </c>
      <c r="G75" s="289">
        <v>2010</v>
      </c>
      <c r="H75" s="289">
        <v>11221</v>
      </c>
      <c r="I75" s="290">
        <v>209.92</v>
      </c>
    </row>
    <row r="76" spans="1:9" x14ac:dyDescent="0.25">
      <c r="A76" s="289">
        <v>6</v>
      </c>
      <c r="B76" s="289">
        <v>300006</v>
      </c>
      <c r="C76" s="289" t="s">
        <v>1179</v>
      </c>
      <c r="D76" s="289">
        <v>0</v>
      </c>
      <c r="E76" s="289">
        <v>14290</v>
      </c>
      <c r="F76" s="289">
        <v>2315</v>
      </c>
      <c r="G76" s="289">
        <v>2010</v>
      </c>
      <c r="H76" s="289">
        <v>11221</v>
      </c>
      <c r="I76" s="290">
        <v>58.5</v>
      </c>
    </row>
    <row r="77" spans="1:9" x14ac:dyDescent="0.25">
      <c r="A77" s="289">
        <v>6</v>
      </c>
      <c r="B77" s="289">
        <v>21360</v>
      </c>
      <c r="C77" s="289" t="s">
        <v>1177</v>
      </c>
      <c r="D77" s="289">
        <v>0</v>
      </c>
      <c r="E77" s="289">
        <v>17290</v>
      </c>
      <c r="F77" s="289">
        <v>2315</v>
      </c>
      <c r="G77" s="289">
        <v>2010</v>
      </c>
      <c r="H77" s="289">
        <v>11221</v>
      </c>
      <c r="I77" s="290">
        <v>-209.92</v>
      </c>
    </row>
    <row r="78" spans="1:9" x14ac:dyDescent="0.25">
      <c r="A78" s="289">
        <v>6</v>
      </c>
      <c r="B78" s="289">
        <v>300006</v>
      </c>
      <c r="C78" s="289" t="s">
        <v>1179</v>
      </c>
      <c r="D78" s="289">
        <v>0</v>
      </c>
      <c r="E78" s="289">
        <v>17290</v>
      </c>
      <c r="F78" s="289">
        <v>2315</v>
      </c>
      <c r="G78" s="289">
        <v>2010</v>
      </c>
      <c r="H78" s="289">
        <v>11221</v>
      </c>
      <c r="I78" s="290">
        <v>-58.5</v>
      </c>
    </row>
    <row r="79" spans="1:9" x14ac:dyDescent="0.25">
      <c r="A79" s="289">
        <v>12</v>
      </c>
      <c r="B79" s="289">
        <v>22469</v>
      </c>
      <c r="C79" s="289" t="s">
        <v>1189</v>
      </c>
      <c r="D79" s="289">
        <v>0</v>
      </c>
      <c r="E79" s="289">
        <v>10100</v>
      </c>
      <c r="F79" s="289">
        <v>2320</v>
      </c>
      <c r="G79" s="289">
        <v>2010</v>
      </c>
      <c r="H79" s="289">
        <v>11221</v>
      </c>
      <c r="I79" s="290">
        <v>43031</v>
      </c>
    </row>
    <row r="80" spans="1:9" x14ac:dyDescent="0.25">
      <c r="A80" s="289">
        <v>12</v>
      </c>
      <c r="B80" s="289">
        <v>22646</v>
      </c>
      <c r="C80" s="289" t="s">
        <v>1191</v>
      </c>
      <c r="D80" s="289">
        <v>0</v>
      </c>
      <c r="E80" s="289">
        <v>10100</v>
      </c>
      <c r="F80" s="289">
        <v>2320</v>
      </c>
      <c r="G80" s="289">
        <v>2010</v>
      </c>
      <c r="H80" s="289">
        <v>11221</v>
      </c>
      <c r="I80" s="290">
        <v>41439</v>
      </c>
    </row>
    <row r="81" spans="1:9" x14ac:dyDescent="0.25">
      <c r="A81" s="289">
        <v>12</v>
      </c>
      <c r="B81" s="289">
        <v>22469</v>
      </c>
      <c r="C81" s="289" t="s">
        <v>1189</v>
      </c>
      <c r="D81" s="289">
        <v>0</v>
      </c>
      <c r="E81" s="289">
        <v>10900</v>
      </c>
      <c r="F81" s="289">
        <v>2320</v>
      </c>
      <c r="G81" s="289">
        <v>2010</v>
      </c>
      <c r="H81" s="289">
        <v>11221</v>
      </c>
      <c r="I81" s="290">
        <v>5125</v>
      </c>
    </row>
    <row r="82" spans="1:9" x14ac:dyDescent="0.25">
      <c r="A82" s="289">
        <v>12</v>
      </c>
      <c r="B82" s="289">
        <v>22646</v>
      </c>
      <c r="C82" s="289" t="s">
        <v>1191</v>
      </c>
      <c r="D82" s="289">
        <v>0</v>
      </c>
      <c r="E82" s="289">
        <v>10900</v>
      </c>
      <c r="F82" s="289">
        <v>2320</v>
      </c>
      <c r="G82" s="289">
        <v>2010</v>
      </c>
      <c r="H82" s="289">
        <v>11221</v>
      </c>
      <c r="I82" s="290">
        <v>5055</v>
      </c>
    </row>
    <row r="83" spans="1:9" x14ac:dyDescent="0.25">
      <c r="A83" s="289">
        <v>12</v>
      </c>
      <c r="B83" s="289">
        <v>22469</v>
      </c>
      <c r="C83" s="289" t="s">
        <v>1189</v>
      </c>
      <c r="D83" s="289">
        <v>0</v>
      </c>
      <c r="E83" s="289">
        <v>10990</v>
      </c>
      <c r="F83" s="289">
        <v>2320</v>
      </c>
      <c r="G83" s="289">
        <v>2010</v>
      </c>
      <c r="H83" s="289">
        <v>11221</v>
      </c>
      <c r="I83" s="290">
        <v>6901</v>
      </c>
    </row>
    <row r="84" spans="1:9" x14ac:dyDescent="0.25">
      <c r="A84" s="289">
        <v>12</v>
      </c>
      <c r="B84" s="289">
        <v>22646</v>
      </c>
      <c r="C84" s="289" t="s">
        <v>1191</v>
      </c>
      <c r="D84" s="289">
        <v>0</v>
      </c>
      <c r="E84" s="289">
        <v>10990</v>
      </c>
      <c r="F84" s="289">
        <v>2320</v>
      </c>
      <c r="G84" s="289">
        <v>2010</v>
      </c>
      <c r="H84" s="289">
        <v>11221</v>
      </c>
      <c r="I84" s="290">
        <v>-5638</v>
      </c>
    </row>
    <row r="85" spans="1:9" x14ac:dyDescent="0.25">
      <c r="A85" s="289">
        <v>4</v>
      </c>
      <c r="B85" s="289">
        <v>113954</v>
      </c>
      <c r="C85" s="289" t="s">
        <v>1169</v>
      </c>
      <c r="D85" s="289">
        <v>800</v>
      </c>
      <c r="E85" s="289">
        <v>11500</v>
      </c>
      <c r="F85" s="289">
        <v>2320</v>
      </c>
      <c r="G85" s="289">
        <v>2010</v>
      </c>
      <c r="H85" s="289">
        <v>11221</v>
      </c>
      <c r="I85" s="290">
        <v>55471.5</v>
      </c>
    </row>
    <row r="86" spans="1:9" x14ac:dyDescent="0.25">
      <c r="A86" s="289">
        <v>3</v>
      </c>
      <c r="B86" s="289">
        <v>109643</v>
      </c>
      <c r="C86" s="289" t="s">
        <v>1168</v>
      </c>
      <c r="D86" s="289">
        <v>800</v>
      </c>
      <c r="E86" s="289">
        <v>11700</v>
      </c>
      <c r="F86" s="289">
        <v>2320</v>
      </c>
      <c r="G86" s="289">
        <v>2010</v>
      </c>
      <c r="H86" s="289">
        <v>11221</v>
      </c>
      <c r="I86" s="290">
        <v>34090</v>
      </c>
    </row>
    <row r="87" spans="1:9" x14ac:dyDescent="0.25">
      <c r="A87" s="297">
        <v>9</v>
      </c>
      <c r="B87" s="297">
        <v>129429</v>
      </c>
      <c r="C87" s="297" t="s">
        <v>1169</v>
      </c>
      <c r="D87" s="297">
        <v>800</v>
      </c>
      <c r="E87" s="297">
        <v>11700</v>
      </c>
      <c r="F87" s="297">
        <v>2320</v>
      </c>
      <c r="G87" s="297">
        <v>2010</v>
      </c>
      <c r="H87" s="297">
        <v>12297</v>
      </c>
      <c r="I87" s="298">
        <v>54969.8</v>
      </c>
    </row>
    <row r="88" spans="1:9" x14ac:dyDescent="0.25">
      <c r="A88" s="297">
        <v>10</v>
      </c>
      <c r="B88" s="297">
        <v>132542</v>
      </c>
      <c r="C88" s="297" t="s">
        <v>1194</v>
      </c>
      <c r="D88" s="297">
        <v>800</v>
      </c>
      <c r="E88" s="297">
        <v>11700</v>
      </c>
      <c r="F88" s="297">
        <v>2320</v>
      </c>
      <c r="G88" s="297">
        <v>2010</v>
      </c>
      <c r="H88" s="297">
        <v>12297</v>
      </c>
      <c r="I88" s="298">
        <v>74325.16</v>
      </c>
    </row>
    <row r="89" spans="1:9" x14ac:dyDescent="0.25">
      <c r="A89" s="297">
        <v>11</v>
      </c>
      <c r="B89" s="297">
        <v>136491</v>
      </c>
      <c r="C89" s="297" t="s">
        <v>1169</v>
      </c>
      <c r="D89" s="297">
        <v>800</v>
      </c>
      <c r="E89" s="297">
        <v>11700</v>
      </c>
      <c r="F89" s="297">
        <v>2320</v>
      </c>
      <c r="G89" s="297">
        <v>2010</v>
      </c>
      <c r="H89" s="297">
        <v>12297</v>
      </c>
      <c r="I89" s="298">
        <v>49544.46</v>
      </c>
    </row>
    <row r="90" spans="1:9" x14ac:dyDescent="0.25">
      <c r="I90" s="309">
        <f>SUM(I71:I89)</f>
        <v>365641.07</v>
      </c>
    </row>
    <row r="92" spans="1:9" x14ac:dyDescent="0.25">
      <c r="A92" s="289">
        <v>12</v>
      </c>
      <c r="B92" s="289">
        <v>22700</v>
      </c>
      <c r="C92" s="289" t="s">
        <v>1145</v>
      </c>
      <c r="D92" s="289">
        <v>100</v>
      </c>
      <c r="E92" s="289">
        <v>17000</v>
      </c>
      <c r="F92" s="289">
        <v>2315</v>
      </c>
      <c r="G92" s="289">
        <v>2010</v>
      </c>
      <c r="H92" s="289">
        <v>11221</v>
      </c>
      <c r="I92" s="290">
        <v>-1327</v>
      </c>
    </row>
    <row r="93" spans="1:9" x14ac:dyDescent="0.25">
      <c r="A93" s="289">
        <v>12</v>
      </c>
      <c r="B93" s="289">
        <v>22700</v>
      </c>
      <c r="C93" s="289" t="s">
        <v>1145</v>
      </c>
      <c r="D93" s="289">
        <v>100</v>
      </c>
      <c r="E93" s="289">
        <v>17000</v>
      </c>
      <c r="F93" s="289">
        <v>2320</v>
      </c>
      <c r="G93" s="289">
        <v>2010</v>
      </c>
      <c r="H93" s="289">
        <v>11221</v>
      </c>
      <c r="I93" s="290">
        <v>-40856</v>
      </c>
    </row>
    <row r="94" spans="1:9" x14ac:dyDescent="0.25">
      <c r="A94" s="289">
        <v>12</v>
      </c>
      <c r="B94" s="289">
        <v>22638</v>
      </c>
      <c r="C94" s="289" t="s">
        <v>1149</v>
      </c>
      <c r="D94" s="289">
        <v>100</v>
      </c>
      <c r="E94" s="289">
        <v>17500</v>
      </c>
      <c r="F94" s="289">
        <v>2010</v>
      </c>
      <c r="G94" s="289">
        <v>2010</v>
      </c>
      <c r="H94" s="289">
        <v>11221</v>
      </c>
      <c r="I94" s="290">
        <v>-46541</v>
      </c>
    </row>
    <row r="95" spans="1:9" x14ac:dyDescent="0.25">
      <c r="A95" s="289">
        <v>12</v>
      </c>
      <c r="B95" s="289">
        <v>22751</v>
      </c>
      <c r="C95" s="289" t="s">
        <v>1152</v>
      </c>
      <c r="D95" s="289">
        <v>0</v>
      </c>
      <c r="E95" s="289">
        <v>17500</v>
      </c>
      <c r="F95" s="289">
        <v>2010</v>
      </c>
      <c r="G95" s="289">
        <v>2010</v>
      </c>
      <c r="H95" s="289">
        <v>11221</v>
      </c>
      <c r="I95" s="290">
        <v>46541</v>
      </c>
    </row>
    <row r="96" spans="1:9" x14ac:dyDescent="0.25">
      <c r="A96" s="289">
        <v>12</v>
      </c>
      <c r="B96" s="289">
        <v>22638</v>
      </c>
      <c r="C96" s="289" t="s">
        <v>1149</v>
      </c>
      <c r="D96" s="289">
        <v>100</v>
      </c>
      <c r="E96" s="289">
        <v>17500</v>
      </c>
      <c r="F96" s="289">
        <v>2320</v>
      </c>
      <c r="G96" s="289">
        <v>2010</v>
      </c>
      <c r="H96" s="289">
        <v>11221</v>
      </c>
      <c r="I96" s="290">
        <v>-145821</v>
      </c>
    </row>
    <row r="97" spans="1:9" x14ac:dyDescent="0.25">
      <c r="A97" s="289">
        <v>12</v>
      </c>
      <c r="B97" s="289">
        <v>22638</v>
      </c>
      <c r="C97" s="289" t="s">
        <v>1149</v>
      </c>
      <c r="D97" s="289">
        <v>100</v>
      </c>
      <c r="E97" s="289">
        <v>17500</v>
      </c>
      <c r="F97" s="289">
        <v>2370</v>
      </c>
      <c r="G97" s="289">
        <v>2010</v>
      </c>
      <c r="H97" s="289">
        <v>11221</v>
      </c>
      <c r="I97" s="290">
        <v>-28083</v>
      </c>
    </row>
    <row r="98" spans="1:9" x14ac:dyDescent="0.25">
      <c r="A98" s="297">
        <v>12</v>
      </c>
      <c r="B98" s="297">
        <v>22638</v>
      </c>
      <c r="C98" s="297" t="s">
        <v>1150</v>
      </c>
      <c r="D98" s="297">
        <v>100</v>
      </c>
      <c r="E98" s="297">
        <v>17500</v>
      </c>
      <c r="F98" s="297">
        <v>2010</v>
      </c>
      <c r="G98" s="297">
        <v>2010</v>
      </c>
      <c r="H98" s="297">
        <v>12297</v>
      </c>
      <c r="I98" s="298">
        <v>-119832</v>
      </c>
    </row>
    <row r="99" spans="1:9" x14ac:dyDescent="0.25">
      <c r="A99" s="297">
        <v>12</v>
      </c>
      <c r="B99" s="297">
        <v>22751</v>
      </c>
      <c r="C99" s="297" t="s">
        <v>1152</v>
      </c>
      <c r="D99" s="297">
        <v>0</v>
      </c>
      <c r="E99" s="297">
        <v>17500</v>
      </c>
      <c r="F99" s="297">
        <v>2010</v>
      </c>
      <c r="G99" s="297">
        <v>2010</v>
      </c>
      <c r="H99" s="297">
        <v>12297</v>
      </c>
      <c r="I99" s="298">
        <v>119832</v>
      </c>
    </row>
    <row r="100" spans="1:9" x14ac:dyDescent="0.25">
      <c r="A100" s="297">
        <v>12</v>
      </c>
      <c r="B100" s="297">
        <v>22638</v>
      </c>
      <c r="C100" s="297" t="s">
        <v>1150</v>
      </c>
      <c r="D100" s="297">
        <v>100</v>
      </c>
      <c r="E100" s="297">
        <v>17500</v>
      </c>
      <c r="F100" s="297">
        <v>2150</v>
      </c>
      <c r="G100" s="297">
        <v>2010</v>
      </c>
      <c r="H100" s="297">
        <v>12297</v>
      </c>
      <c r="I100" s="298">
        <v>-34180</v>
      </c>
    </row>
    <row r="101" spans="1:9" x14ac:dyDescent="0.25">
      <c r="A101" s="297">
        <v>12</v>
      </c>
      <c r="B101" s="297">
        <v>22638</v>
      </c>
      <c r="C101" s="297" t="s">
        <v>1150</v>
      </c>
      <c r="D101" s="297">
        <v>100</v>
      </c>
      <c r="E101" s="297">
        <v>17500</v>
      </c>
      <c r="F101" s="297">
        <v>2180</v>
      </c>
      <c r="G101" s="297">
        <v>2010</v>
      </c>
      <c r="H101" s="297">
        <v>12297</v>
      </c>
      <c r="I101" s="298">
        <v>-26195</v>
      </c>
    </row>
    <row r="102" spans="1:9" x14ac:dyDescent="0.25">
      <c r="A102" s="297">
        <v>12</v>
      </c>
      <c r="B102" s="297">
        <v>22638</v>
      </c>
      <c r="C102" s="297" t="s">
        <v>1150</v>
      </c>
      <c r="D102" s="297">
        <v>100</v>
      </c>
      <c r="E102" s="297">
        <v>17500</v>
      </c>
      <c r="F102" s="297">
        <v>2320</v>
      </c>
      <c r="G102" s="297">
        <v>2010</v>
      </c>
      <c r="H102" s="297">
        <v>12297</v>
      </c>
      <c r="I102" s="298">
        <v>-178839</v>
      </c>
    </row>
    <row r="103" spans="1:9" x14ac:dyDescent="0.25">
      <c r="A103" s="289">
        <v>10</v>
      </c>
      <c r="B103" s="289">
        <v>21873</v>
      </c>
      <c r="C103" s="289" t="s">
        <v>1185</v>
      </c>
      <c r="D103" s="289">
        <v>100</v>
      </c>
      <c r="E103" s="289">
        <v>17700</v>
      </c>
      <c r="F103" s="289">
        <v>2300</v>
      </c>
      <c r="G103" s="289">
        <v>2010</v>
      </c>
      <c r="H103" s="289">
        <v>11221</v>
      </c>
      <c r="I103" s="290">
        <v>-4050</v>
      </c>
    </row>
    <row r="104" spans="1:9" x14ac:dyDescent="0.25">
      <c r="A104" s="297">
        <v>11</v>
      </c>
      <c r="B104" s="297">
        <v>22282</v>
      </c>
      <c r="C104" s="297" t="s">
        <v>1195</v>
      </c>
      <c r="D104" s="297">
        <v>100</v>
      </c>
      <c r="E104" s="297">
        <v>17700</v>
      </c>
      <c r="F104" s="297">
        <v>2300</v>
      </c>
      <c r="G104" s="297">
        <v>2010</v>
      </c>
      <c r="H104" s="297">
        <v>12297</v>
      </c>
      <c r="I104" s="298">
        <v>-978814.86</v>
      </c>
    </row>
    <row r="105" spans="1:9" x14ac:dyDescent="0.25">
      <c r="A105" s="289">
        <v>12</v>
      </c>
      <c r="B105" s="289">
        <v>22700</v>
      </c>
      <c r="C105" s="289" t="s">
        <v>1192</v>
      </c>
      <c r="D105" s="289">
        <v>0</v>
      </c>
      <c r="E105" s="289">
        <v>19500</v>
      </c>
      <c r="F105" s="289">
        <v>2300</v>
      </c>
      <c r="G105" s="289">
        <v>2010</v>
      </c>
      <c r="H105" s="289">
        <v>11221</v>
      </c>
      <c r="I105" s="290">
        <v>-407261</v>
      </c>
    </row>
  </sheetData>
  <sortState xmlns:xlrd2="http://schemas.microsoft.com/office/spreadsheetml/2017/richdata2" ref="A2:I91">
    <sortCondition ref="F2:F91"/>
  </sortState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5EB31-4958-4F93-B36E-269873CF071E}">
  <sheetPr>
    <tabColor rgb="FFFF0000"/>
  </sheetPr>
  <dimension ref="A3:M15"/>
  <sheetViews>
    <sheetView workbookViewId="0">
      <selection activeCell="Q22" sqref="Q22"/>
    </sheetView>
  </sheetViews>
  <sheetFormatPr baseColWidth="10" defaultRowHeight="15" x14ac:dyDescent="0.25"/>
  <cols>
    <col min="1" max="1" width="29.7109375" bestFit="1" customWidth="1"/>
    <col min="2" max="2" width="18.5703125" bestFit="1" customWidth="1"/>
    <col min="3" max="3" width="13.28515625" bestFit="1" customWidth="1"/>
    <col min="4" max="4" width="10.42578125" bestFit="1" customWidth="1"/>
    <col min="5" max="5" width="4.85546875" bestFit="1" customWidth="1"/>
    <col min="6" max="6" width="5" bestFit="1" customWidth="1"/>
    <col min="7" max="7" width="15.42578125" bestFit="1" customWidth="1"/>
    <col min="8" max="8" width="6.28515625" bestFit="1" customWidth="1"/>
    <col min="9" max="9" width="8" bestFit="1" customWidth="1"/>
    <col min="10" max="10" width="9.140625" bestFit="1" customWidth="1"/>
    <col min="11" max="11" width="4.28515625" bestFit="1" customWidth="1"/>
    <col min="12" max="12" width="7.42578125" bestFit="1" customWidth="1"/>
    <col min="13" max="13" width="11.85546875" bestFit="1" customWidth="1"/>
  </cols>
  <sheetData>
    <row r="3" spans="1:13" x14ac:dyDescent="0.25">
      <c r="A3" s="360" t="s">
        <v>1064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2"/>
    </row>
    <row r="4" spans="1:13" x14ac:dyDescent="0.25">
      <c r="A4" s="363"/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5"/>
    </row>
    <row r="5" spans="1:13" ht="15.75" thickBot="1" x14ac:dyDescent="0.3">
      <c r="A5" s="366"/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8"/>
    </row>
    <row r="6" spans="1:13" ht="15.75" thickBot="1" x14ac:dyDescent="0.3">
      <c r="A6" s="277" t="s">
        <v>1065</v>
      </c>
      <c r="B6" s="278" t="s">
        <v>1066</v>
      </c>
      <c r="C6" s="278" t="s">
        <v>1067</v>
      </c>
      <c r="D6" s="278" t="s">
        <v>1068</v>
      </c>
      <c r="E6" s="278" t="s">
        <v>1069</v>
      </c>
      <c r="F6" s="278" t="s">
        <v>1070</v>
      </c>
      <c r="G6" s="278" t="s">
        <v>1071</v>
      </c>
      <c r="H6" s="278" t="s">
        <v>1072</v>
      </c>
      <c r="I6" s="278" t="s">
        <v>1073</v>
      </c>
      <c r="J6" s="278" t="s">
        <v>1074</v>
      </c>
      <c r="K6" s="278" t="s">
        <v>1075</v>
      </c>
      <c r="L6" s="278" t="s">
        <v>1076</v>
      </c>
      <c r="M6" s="279" t="s">
        <v>1077</v>
      </c>
    </row>
    <row r="7" spans="1:13" ht="15.75" thickBot="1" x14ac:dyDescent="0.3">
      <c r="A7" s="280" t="s">
        <v>808</v>
      </c>
      <c r="B7" s="281" t="s">
        <v>1078</v>
      </c>
      <c r="C7" s="281" t="s">
        <v>1079</v>
      </c>
      <c r="D7" s="281" t="s">
        <v>1080</v>
      </c>
      <c r="E7" s="282">
        <v>31</v>
      </c>
      <c r="F7" s="282">
        <v>1079</v>
      </c>
      <c r="G7" s="281" t="s">
        <v>1081</v>
      </c>
      <c r="H7" s="282">
        <v>663</v>
      </c>
      <c r="I7" s="282">
        <v>6419</v>
      </c>
      <c r="J7" s="282">
        <v>2210</v>
      </c>
      <c r="K7" s="281"/>
      <c r="L7" s="283">
        <v>1408</v>
      </c>
      <c r="M7" s="284">
        <v>14705</v>
      </c>
    </row>
    <row r="8" spans="1:13" ht="15.75" thickBot="1" x14ac:dyDescent="0.3">
      <c r="A8" s="280" t="s">
        <v>1082</v>
      </c>
      <c r="B8" s="281" t="s">
        <v>1078</v>
      </c>
      <c r="C8" s="281" t="s">
        <v>1079</v>
      </c>
      <c r="D8" s="281" t="s">
        <v>1080</v>
      </c>
      <c r="E8" s="282">
        <v>31</v>
      </c>
      <c r="F8" s="282">
        <v>1079</v>
      </c>
      <c r="G8" s="281" t="s">
        <v>1083</v>
      </c>
      <c r="H8" s="282">
        <v>593</v>
      </c>
      <c r="I8" s="282">
        <v>6419</v>
      </c>
      <c r="J8" s="282">
        <v>2210</v>
      </c>
      <c r="K8" s="281"/>
      <c r="L8" s="283">
        <v>1408</v>
      </c>
      <c r="M8" s="284">
        <v>13153</v>
      </c>
    </row>
    <row r="9" spans="1:13" ht="15.75" thickBot="1" x14ac:dyDescent="0.3">
      <c r="A9" s="280" t="s">
        <v>806</v>
      </c>
      <c r="B9" s="281" t="s">
        <v>1084</v>
      </c>
      <c r="C9" s="281" t="s">
        <v>1079</v>
      </c>
      <c r="D9" s="281" t="s">
        <v>1080</v>
      </c>
      <c r="E9" s="282">
        <v>2</v>
      </c>
      <c r="F9" s="282">
        <v>316</v>
      </c>
      <c r="G9" s="281" t="s">
        <v>1085</v>
      </c>
      <c r="H9" s="282">
        <v>226</v>
      </c>
      <c r="I9" s="282">
        <v>6419</v>
      </c>
      <c r="J9" s="282">
        <v>2210</v>
      </c>
      <c r="K9" s="281"/>
      <c r="L9" s="283">
        <v>1401</v>
      </c>
      <c r="M9" s="284">
        <v>5013</v>
      </c>
    </row>
    <row r="10" spans="1:13" ht="15.75" thickBot="1" x14ac:dyDescent="0.3">
      <c r="A10" s="280" t="s">
        <v>804</v>
      </c>
      <c r="B10" s="281" t="s">
        <v>1086</v>
      </c>
      <c r="C10" s="281" t="s">
        <v>1079</v>
      </c>
      <c r="D10" s="281" t="s">
        <v>1080</v>
      </c>
      <c r="E10" s="282">
        <v>5</v>
      </c>
      <c r="F10" s="282">
        <v>689</v>
      </c>
      <c r="G10" s="281" t="s">
        <v>1087</v>
      </c>
      <c r="H10" s="282">
        <v>2416</v>
      </c>
      <c r="I10" s="282">
        <v>6419</v>
      </c>
      <c r="J10" s="282">
        <v>2210</v>
      </c>
      <c r="K10" s="281"/>
      <c r="L10" s="283">
        <v>1405</v>
      </c>
      <c r="M10" s="284">
        <v>53586</v>
      </c>
    </row>
    <row r="11" spans="1:13" ht="15.75" thickBot="1" x14ac:dyDescent="0.3">
      <c r="A11" s="280" t="s">
        <v>812</v>
      </c>
      <c r="B11" s="281" t="s">
        <v>1088</v>
      </c>
      <c r="C11" s="281" t="s">
        <v>1079</v>
      </c>
      <c r="D11" s="281" t="s">
        <v>1080</v>
      </c>
      <c r="E11" s="282">
        <v>10</v>
      </c>
      <c r="F11" s="282">
        <v>136</v>
      </c>
      <c r="G11" s="281" t="s">
        <v>1089</v>
      </c>
      <c r="H11" s="282">
        <v>2040</v>
      </c>
      <c r="I11" s="282">
        <v>6419</v>
      </c>
      <c r="J11" s="282">
        <v>2220</v>
      </c>
      <c r="K11" s="281"/>
      <c r="L11" s="283">
        <v>1412</v>
      </c>
      <c r="M11" s="284">
        <v>45247</v>
      </c>
    </row>
    <row r="12" spans="1:13" ht="15.75" thickBot="1" x14ac:dyDescent="0.3">
      <c r="A12" s="280" t="s">
        <v>810</v>
      </c>
      <c r="B12" s="281" t="s">
        <v>1090</v>
      </c>
      <c r="C12" s="281" t="s">
        <v>1079</v>
      </c>
      <c r="D12" s="281" t="s">
        <v>1080</v>
      </c>
      <c r="E12" s="282">
        <v>137</v>
      </c>
      <c r="F12" s="282">
        <v>30</v>
      </c>
      <c r="G12" s="281" t="s">
        <v>1091</v>
      </c>
      <c r="H12" s="282">
        <v>672</v>
      </c>
      <c r="I12" s="282">
        <v>6419</v>
      </c>
      <c r="J12" s="282">
        <v>2210</v>
      </c>
      <c r="K12" s="281"/>
      <c r="L12" s="283">
        <v>1411</v>
      </c>
      <c r="M12" s="284">
        <v>14905</v>
      </c>
    </row>
    <row r="13" spans="1:13" ht="15.75" thickBot="1" x14ac:dyDescent="0.3">
      <c r="A13" s="280" t="s">
        <v>1092</v>
      </c>
      <c r="B13" s="281" t="s">
        <v>1093</v>
      </c>
      <c r="C13" s="281" t="s">
        <v>1079</v>
      </c>
      <c r="D13" s="281" t="s">
        <v>1080</v>
      </c>
      <c r="E13" s="282">
        <v>137</v>
      </c>
      <c r="F13" s="282">
        <v>314</v>
      </c>
      <c r="G13" s="281" t="s">
        <v>1094</v>
      </c>
      <c r="H13" s="282">
        <v>529</v>
      </c>
      <c r="I13" s="282">
        <v>6419</v>
      </c>
      <c r="J13" s="282">
        <v>2210</v>
      </c>
      <c r="K13" s="281"/>
      <c r="L13" s="283">
        <v>1106</v>
      </c>
      <c r="M13" s="284">
        <v>11733</v>
      </c>
    </row>
    <row r="15" spans="1:13" x14ac:dyDescent="0.25">
      <c r="L15" s="285" t="s">
        <v>1095</v>
      </c>
      <c r="M15" s="286">
        <f>SUM(M7:M14)</f>
        <v>158342</v>
      </c>
    </row>
  </sheetData>
  <mergeCells count="1">
    <mergeCell ref="A3:M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2" t="s">
        <v>165</v>
      </c>
      <c r="B1" s="40" t="s">
        <v>166</v>
      </c>
      <c r="C1" t="s">
        <v>167</v>
      </c>
    </row>
    <row r="2" spans="1:3" ht="15.75" thickBot="1" x14ac:dyDescent="0.3">
      <c r="A2" s="43">
        <v>916381689</v>
      </c>
      <c r="B2" s="41" t="s">
        <v>168</v>
      </c>
      <c r="C2" t="s">
        <v>169</v>
      </c>
    </row>
    <row r="3" spans="1:3" ht="15.75" thickBot="1" x14ac:dyDescent="0.3">
      <c r="A3" s="43">
        <v>916381662</v>
      </c>
      <c r="B3" s="41" t="s">
        <v>170</v>
      </c>
      <c r="C3" t="s">
        <v>169</v>
      </c>
    </row>
    <row r="4" spans="1:3" ht="15.75" thickBot="1" x14ac:dyDescent="0.3">
      <c r="A4" s="43">
        <v>973445936</v>
      </c>
      <c r="B4" s="41" t="s">
        <v>171</v>
      </c>
      <c r="C4" t="s">
        <v>169</v>
      </c>
    </row>
    <row r="5" spans="1:3" ht="15.75" thickBot="1" x14ac:dyDescent="0.3">
      <c r="A5" s="43">
        <v>973597639</v>
      </c>
      <c r="B5" s="41" t="s">
        <v>172</v>
      </c>
      <c r="C5" t="s">
        <v>169</v>
      </c>
    </row>
    <row r="6" spans="1:3" ht="15.75" thickBot="1" x14ac:dyDescent="0.3">
      <c r="A6" s="43">
        <v>977010047</v>
      </c>
      <c r="B6" s="41" t="s">
        <v>173</v>
      </c>
      <c r="C6" t="s">
        <v>169</v>
      </c>
    </row>
    <row r="7" spans="1:3" ht="15.75" thickBot="1" x14ac:dyDescent="0.3">
      <c r="A7" s="43">
        <v>873893362</v>
      </c>
      <c r="B7" s="41" t="s">
        <v>174</v>
      </c>
      <c r="C7" t="s">
        <v>169</v>
      </c>
    </row>
    <row r="8" spans="1:3" ht="15.75" thickBot="1" x14ac:dyDescent="0.3">
      <c r="A8" s="43">
        <v>974796732</v>
      </c>
      <c r="B8" s="41" t="s">
        <v>175</v>
      </c>
      <c r="C8" t="s">
        <v>169</v>
      </c>
    </row>
    <row r="9" spans="1:3" ht="15.75" thickBot="1" x14ac:dyDescent="0.3">
      <c r="A9" s="43">
        <v>973470434</v>
      </c>
      <c r="B9" s="41" t="s">
        <v>176</v>
      </c>
      <c r="C9" t="s">
        <v>169</v>
      </c>
    </row>
    <row r="10" spans="1:3" ht="15.75" thickBot="1" x14ac:dyDescent="0.3">
      <c r="A10" s="43">
        <v>973454870</v>
      </c>
      <c r="B10" s="41" t="s">
        <v>177</v>
      </c>
      <c r="C10" t="s">
        <v>169</v>
      </c>
    </row>
    <row r="11" spans="1:3" ht="15.75" thickBot="1" x14ac:dyDescent="0.3">
      <c r="A11" s="43">
        <v>975183408</v>
      </c>
      <c r="B11" s="41" t="s">
        <v>178</v>
      </c>
      <c r="C11" t="s">
        <v>169</v>
      </c>
    </row>
    <row r="12" spans="1:3" ht="15.75" thickBot="1" x14ac:dyDescent="0.3">
      <c r="A12" s="43">
        <v>930333263</v>
      </c>
      <c r="B12" s="41" t="s">
        <v>179</v>
      </c>
      <c r="C12" t="s">
        <v>169</v>
      </c>
    </row>
    <row r="13" spans="1:3" ht="15.75" thickBot="1" x14ac:dyDescent="0.3">
      <c r="A13" s="43">
        <v>973383531</v>
      </c>
      <c r="B13" s="41" t="s">
        <v>180</v>
      </c>
      <c r="C13" t="s">
        <v>169</v>
      </c>
    </row>
    <row r="14" spans="1:3" ht="15.75" thickBot="1" x14ac:dyDescent="0.3">
      <c r="A14" s="43">
        <v>973383248</v>
      </c>
      <c r="B14" s="41" t="s">
        <v>181</v>
      </c>
      <c r="C14" t="s">
        <v>169</v>
      </c>
    </row>
    <row r="15" spans="1:3" ht="15.75" thickBot="1" x14ac:dyDescent="0.3">
      <c r="A15" s="43">
        <v>982367409</v>
      </c>
      <c r="B15" s="41" t="s">
        <v>182</v>
      </c>
      <c r="C15" t="s">
        <v>169</v>
      </c>
    </row>
    <row r="16" spans="1:3" ht="15.75" thickBot="1" x14ac:dyDescent="0.3">
      <c r="A16" s="43">
        <v>973346504</v>
      </c>
      <c r="B16" s="41" t="s">
        <v>183</v>
      </c>
      <c r="C16" t="s">
        <v>169</v>
      </c>
    </row>
    <row r="17" spans="1:3" ht="15.75" thickBot="1" x14ac:dyDescent="0.3">
      <c r="A17" s="43">
        <v>994875698</v>
      </c>
      <c r="B17" s="41" t="s">
        <v>184</v>
      </c>
      <c r="C17" t="s">
        <v>169</v>
      </c>
    </row>
    <row r="18" spans="1:3" ht="15.75" thickBot="1" x14ac:dyDescent="0.3">
      <c r="A18" s="43">
        <v>996006344</v>
      </c>
      <c r="B18" s="41" t="s">
        <v>185</v>
      </c>
      <c r="C18" t="s">
        <v>169</v>
      </c>
    </row>
    <row r="19" spans="1:3" ht="15.75" thickBot="1" x14ac:dyDescent="0.3">
      <c r="A19" s="43">
        <v>975314456</v>
      </c>
      <c r="B19" s="41" t="s">
        <v>186</v>
      </c>
      <c r="C19" t="s">
        <v>169</v>
      </c>
    </row>
    <row r="20" spans="1:3" ht="15.75" thickBot="1" x14ac:dyDescent="0.3">
      <c r="A20" s="43">
        <v>973782975</v>
      </c>
      <c r="B20" s="41" t="s">
        <v>187</v>
      </c>
      <c r="C20" t="s">
        <v>169</v>
      </c>
    </row>
    <row r="21" spans="1:3" ht="24.75" thickBot="1" x14ac:dyDescent="0.3">
      <c r="A21" s="43">
        <v>995319101</v>
      </c>
      <c r="B21" s="41" t="s">
        <v>188</v>
      </c>
      <c r="C21" t="s">
        <v>169</v>
      </c>
    </row>
    <row r="22" spans="1:3" ht="24.75" thickBot="1" x14ac:dyDescent="0.3">
      <c r="A22" s="43">
        <v>875028642</v>
      </c>
      <c r="B22" s="41" t="s">
        <v>189</v>
      </c>
      <c r="C22" t="s">
        <v>169</v>
      </c>
    </row>
    <row r="23" spans="1:3" ht="15.75" thickBot="1" x14ac:dyDescent="0.3">
      <c r="A23" s="43">
        <v>974838028</v>
      </c>
      <c r="B23" s="41" t="s">
        <v>190</v>
      </c>
      <c r="C23" t="s">
        <v>169</v>
      </c>
    </row>
    <row r="24" spans="1:3" ht="15.75" thickBot="1" x14ac:dyDescent="0.3">
      <c r="A24" s="43">
        <v>988541222</v>
      </c>
      <c r="B24" s="41" t="s">
        <v>191</v>
      </c>
      <c r="C24" t="s">
        <v>169</v>
      </c>
    </row>
    <row r="25" spans="1:3" ht="15.75" thickBot="1" x14ac:dyDescent="0.3">
      <c r="A25" s="43">
        <v>975266702</v>
      </c>
      <c r="B25" s="41" t="s">
        <v>192</v>
      </c>
      <c r="C25" t="s">
        <v>169</v>
      </c>
    </row>
    <row r="26" spans="1:3" ht="24.75" thickBot="1" x14ac:dyDescent="0.3">
      <c r="A26" s="43">
        <v>985773017</v>
      </c>
      <c r="B26" s="41" t="s">
        <v>193</v>
      </c>
      <c r="C26" t="s">
        <v>169</v>
      </c>
    </row>
    <row r="27" spans="1:3" ht="15.75" thickBot="1" x14ac:dyDescent="0.3">
      <c r="A27" s="43">
        <v>974703351</v>
      </c>
      <c r="B27" s="41" t="s">
        <v>194</v>
      </c>
      <c r="C27" t="s">
        <v>169</v>
      </c>
    </row>
    <row r="28" spans="1:3" ht="24.75" thickBot="1" x14ac:dyDescent="0.3">
      <c r="A28" s="43">
        <v>973337491</v>
      </c>
      <c r="B28" s="41" t="s">
        <v>195</v>
      </c>
      <c r="C28" t="s">
        <v>169</v>
      </c>
    </row>
    <row r="29" spans="1:3" ht="15.75" thickBot="1" x14ac:dyDescent="0.3">
      <c r="A29" s="43">
        <v>973337459</v>
      </c>
      <c r="B29" s="41" t="s">
        <v>196</v>
      </c>
      <c r="C29" t="s">
        <v>169</v>
      </c>
    </row>
    <row r="30" spans="1:3" ht="15.75" thickBot="1" x14ac:dyDescent="0.3">
      <c r="A30" s="43">
        <v>988820628</v>
      </c>
      <c r="B30" s="41" t="s">
        <v>197</v>
      </c>
      <c r="C30" t="s">
        <v>169</v>
      </c>
    </row>
    <row r="31" spans="1:3" ht="15.75" thickBot="1" x14ac:dyDescent="0.3">
      <c r="A31" s="43">
        <v>975048179</v>
      </c>
      <c r="B31" s="41" t="s">
        <v>198</v>
      </c>
      <c r="C31" t="s">
        <v>169</v>
      </c>
    </row>
    <row r="32" spans="1:3" ht="15.75" thickBot="1" x14ac:dyDescent="0.3">
      <c r="A32" s="43">
        <v>973457497</v>
      </c>
      <c r="B32" s="41" t="s">
        <v>199</v>
      </c>
      <c r="C32" t="s">
        <v>169</v>
      </c>
    </row>
    <row r="33" spans="1:3" ht="15.75" thickBot="1" x14ac:dyDescent="0.3">
      <c r="A33" s="43">
        <v>975183939</v>
      </c>
      <c r="B33" s="41" t="s">
        <v>200</v>
      </c>
      <c r="C33" t="s">
        <v>169</v>
      </c>
    </row>
    <row r="34" spans="1:3" ht="24.75" thickBot="1" x14ac:dyDescent="0.3">
      <c r="A34" s="43">
        <v>987532874</v>
      </c>
      <c r="B34" s="41" t="s">
        <v>201</v>
      </c>
      <c r="C34" t="s">
        <v>169</v>
      </c>
    </row>
    <row r="35" spans="1:3" ht="15.75" thickBot="1" x14ac:dyDescent="0.3">
      <c r="A35" s="43">
        <v>974294443</v>
      </c>
      <c r="B35" s="41" t="s">
        <v>202</v>
      </c>
      <c r="C35" t="s">
        <v>169</v>
      </c>
    </row>
    <row r="36" spans="1:3" ht="15.75" thickBot="1" x14ac:dyDescent="0.3">
      <c r="A36" s="43">
        <v>973471872</v>
      </c>
      <c r="B36" s="41" t="s">
        <v>203</v>
      </c>
      <c r="C36" t="s">
        <v>169</v>
      </c>
    </row>
    <row r="37" spans="1:3" ht="15.75" thickBot="1" x14ac:dyDescent="0.3">
      <c r="A37" s="43">
        <v>973382403</v>
      </c>
      <c r="B37" s="41" t="s">
        <v>204</v>
      </c>
      <c r="C37" t="s">
        <v>169</v>
      </c>
    </row>
    <row r="38" spans="1:3" ht="15.75" thickBot="1" x14ac:dyDescent="0.3">
      <c r="A38" s="43">
        <v>973383191</v>
      </c>
      <c r="B38" s="41" t="s">
        <v>205</v>
      </c>
      <c r="C38" t="s">
        <v>169</v>
      </c>
    </row>
    <row r="39" spans="1:3" ht="15.75" thickBot="1" x14ac:dyDescent="0.3">
      <c r="A39" s="43">
        <v>973469207</v>
      </c>
      <c r="B39" s="41" t="s">
        <v>206</v>
      </c>
      <c r="C39" t="s">
        <v>169</v>
      </c>
    </row>
    <row r="40" spans="1:3" ht="24.75" thickBot="1" x14ac:dyDescent="0.3">
      <c r="A40" s="43">
        <v>975315258</v>
      </c>
      <c r="B40" s="41" t="s">
        <v>207</v>
      </c>
      <c r="C40" t="s">
        <v>169</v>
      </c>
    </row>
    <row r="41" spans="1:3" ht="24.75" thickBot="1" x14ac:dyDescent="0.3">
      <c r="A41" s="43">
        <v>975315096</v>
      </c>
      <c r="B41" s="41" t="s">
        <v>208</v>
      </c>
      <c r="C41" t="s">
        <v>169</v>
      </c>
    </row>
    <row r="42" spans="1:3" ht="24.75" thickBot="1" x14ac:dyDescent="0.3">
      <c r="A42" s="43">
        <v>974737760</v>
      </c>
      <c r="B42" s="41" t="s">
        <v>209</v>
      </c>
      <c r="C42" t="s">
        <v>169</v>
      </c>
    </row>
    <row r="43" spans="1:3" ht="24.75" thickBot="1" x14ac:dyDescent="0.3">
      <c r="A43" s="43">
        <v>979468105</v>
      </c>
      <c r="B43" s="41" t="s">
        <v>210</v>
      </c>
      <c r="C43" t="s">
        <v>169</v>
      </c>
    </row>
    <row r="44" spans="1:3" ht="15.75" thickBot="1" x14ac:dyDescent="0.3">
      <c r="A44" s="43">
        <v>873885262</v>
      </c>
      <c r="B44" s="41" t="s">
        <v>211</v>
      </c>
      <c r="C44" t="s">
        <v>169</v>
      </c>
    </row>
    <row r="45" spans="1:3" ht="15.75" thickBot="1" x14ac:dyDescent="0.3">
      <c r="A45" s="43">
        <v>973456636</v>
      </c>
      <c r="B45" s="41" t="s">
        <v>212</v>
      </c>
      <c r="C45" t="s">
        <v>169</v>
      </c>
    </row>
    <row r="46" spans="1:3" ht="15.75" thickBot="1" x14ac:dyDescent="0.3">
      <c r="A46" s="43">
        <v>873349352</v>
      </c>
      <c r="B46" s="41" t="s">
        <v>213</v>
      </c>
      <c r="C46" t="s">
        <v>169</v>
      </c>
    </row>
    <row r="47" spans="1:3" ht="15.75" thickBot="1" x14ac:dyDescent="0.3">
      <c r="A47" s="43">
        <v>974102226</v>
      </c>
      <c r="B47" s="41" t="s">
        <v>214</v>
      </c>
      <c r="C47" t="s">
        <v>169</v>
      </c>
    </row>
    <row r="48" spans="1:3" ht="15.75" thickBot="1" x14ac:dyDescent="0.3">
      <c r="A48" s="43">
        <v>974305658</v>
      </c>
      <c r="B48" s="41" t="s">
        <v>215</v>
      </c>
      <c r="C48" t="s">
        <v>169</v>
      </c>
    </row>
    <row r="49" spans="1:3" ht="15.75" thickBot="1" x14ac:dyDescent="0.3">
      <c r="A49" s="43">
        <v>974157187</v>
      </c>
      <c r="B49" s="41" t="s">
        <v>216</v>
      </c>
      <c r="C49" t="s">
        <v>169</v>
      </c>
    </row>
    <row r="50" spans="1:3" ht="15.75" thickBot="1" x14ac:dyDescent="0.3">
      <c r="A50" s="43">
        <v>996005364</v>
      </c>
      <c r="B50" s="41" t="s">
        <v>217</v>
      </c>
      <c r="C50" t="s">
        <v>169</v>
      </c>
    </row>
    <row r="51" spans="1:3" ht="15.75" thickBot="1" x14ac:dyDescent="0.3">
      <c r="A51" s="43">
        <v>973469819</v>
      </c>
      <c r="B51" s="41" t="s">
        <v>218</v>
      </c>
      <c r="C51" t="s">
        <v>169</v>
      </c>
    </row>
    <row r="52" spans="1:3" ht="15.75" thickBot="1" x14ac:dyDescent="0.3">
      <c r="A52" s="43">
        <v>973454544</v>
      </c>
      <c r="B52" s="41" t="s">
        <v>219</v>
      </c>
      <c r="C52" t="s">
        <v>169</v>
      </c>
    </row>
    <row r="53" spans="1:3" ht="15.75" thickBot="1" x14ac:dyDescent="0.3">
      <c r="A53" s="43">
        <v>874800082</v>
      </c>
      <c r="B53" s="41" t="s">
        <v>220</v>
      </c>
      <c r="C53" t="s">
        <v>169</v>
      </c>
    </row>
    <row r="54" spans="1:3" ht="15.75" thickBot="1" x14ac:dyDescent="0.3">
      <c r="A54" s="43">
        <v>973448706</v>
      </c>
      <c r="B54" s="41" t="s">
        <v>221</v>
      </c>
      <c r="C54" t="s">
        <v>169</v>
      </c>
    </row>
    <row r="55" spans="1:3" ht="15.75" thickBot="1" x14ac:dyDescent="0.3">
      <c r="A55" s="43">
        <v>973352377</v>
      </c>
      <c r="B55" s="41" t="s">
        <v>222</v>
      </c>
      <c r="C55" t="s">
        <v>169</v>
      </c>
    </row>
    <row r="56" spans="1:3" ht="15.75" thickBot="1" x14ac:dyDescent="0.3">
      <c r="A56" s="43">
        <v>989536338</v>
      </c>
      <c r="B56" s="41" t="s">
        <v>223</v>
      </c>
      <c r="C56" t="s">
        <v>169</v>
      </c>
    </row>
    <row r="57" spans="1:3" ht="15.75" thickBot="1" x14ac:dyDescent="0.3">
      <c r="A57" s="43">
        <v>973817493</v>
      </c>
      <c r="B57" s="41" t="s">
        <v>224</v>
      </c>
      <c r="C57" t="s">
        <v>169</v>
      </c>
    </row>
    <row r="58" spans="1:3" ht="15.75" thickBot="1" x14ac:dyDescent="0.3">
      <c r="A58" s="43">
        <v>982451361</v>
      </c>
      <c r="B58" s="41" t="s">
        <v>225</v>
      </c>
      <c r="C58" t="s">
        <v>169</v>
      </c>
    </row>
    <row r="59" spans="1:3" ht="15.75" thickBot="1" x14ac:dyDescent="0.3">
      <c r="A59" s="43">
        <v>993131075</v>
      </c>
      <c r="B59" s="41" t="s">
        <v>226</v>
      </c>
      <c r="C59" t="s">
        <v>169</v>
      </c>
    </row>
    <row r="60" spans="1:3" ht="15.75" thickBot="1" x14ac:dyDescent="0.3">
      <c r="A60" s="43">
        <v>994249622</v>
      </c>
      <c r="B60" s="41" t="s">
        <v>227</v>
      </c>
      <c r="C60" t="s">
        <v>169</v>
      </c>
    </row>
    <row r="61" spans="1:3" ht="24.75" thickBot="1" x14ac:dyDescent="0.3">
      <c r="A61" s="43">
        <v>996000389</v>
      </c>
      <c r="B61" s="41" t="s">
        <v>228</v>
      </c>
      <c r="C61" t="s">
        <v>169</v>
      </c>
    </row>
    <row r="62" spans="1:3" ht="15.75" thickBot="1" x14ac:dyDescent="0.3">
      <c r="A62" s="43">
        <v>974703009</v>
      </c>
      <c r="B62" s="41" t="s">
        <v>229</v>
      </c>
      <c r="C62" t="s">
        <v>169</v>
      </c>
    </row>
    <row r="63" spans="1:3" ht="15.75" thickBot="1" x14ac:dyDescent="0.3">
      <c r="A63" s="43">
        <v>981232232</v>
      </c>
      <c r="B63" s="41" t="s">
        <v>230</v>
      </c>
      <c r="C63" t="s">
        <v>169</v>
      </c>
    </row>
    <row r="64" spans="1:3" ht="24.75" thickBot="1" x14ac:dyDescent="0.3">
      <c r="A64" s="43">
        <v>993804703</v>
      </c>
      <c r="B64" s="41" t="s">
        <v>231</v>
      </c>
      <c r="C64" t="s">
        <v>169</v>
      </c>
    </row>
    <row r="65" spans="1:3" ht="24.75" thickBot="1" x14ac:dyDescent="0.3">
      <c r="A65" s="43">
        <v>973269852</v>
      </c>
      <c r="B65" s="41" t="s">
        <v>232</v>
      </c>
      <c r="C65" t="s">
        <v>169</v>
      </c>
    </row>
    <row r="66" spans="1:3" ht="15.75" thickBot="1" x14ac:dyDescent="0.3">
      <c r="A66" s="43">
        <v>994915959</v>
      </c>
      <c r="B66" s="41" t="s">
        <v>233</v>
      </c>
      <c r="C66" t="s">
        <v>169</v>
      </c>
    </row>
    <row r="67" spans="1:3" ht="15.75" thickBot="1" x14ac:dyDescent="0.3">
      <c r="A67" s="43">
        <v>874116572</v>
      </c>
      <c r="B67" s="41" t="s">
        <v>234</v>
      </c>
      <c r="C67" t="s">
        <v>169</v>
      </c>
    </row>
    <row r="68" spans="1:3" ht="15.75" thickBot="1" x14ac:dyDescent="0.3">
      <c r="A68" s="43">
        <v>973449133</v>
      </c>
      <c r="B68" s="41" t="s">
        <v>235</v>
      </c>
      <c r="C68" t="s">
        <v>169</v>
      </c>
    </row>
    <row r="69" spans="1:3" ht="15.75" thickBot="1" x14ac:dyDescent="0.3">
      <c r="A69" s="43">
        <v>974156318</v>
      </c>
      <c r="B69" s="41" t="s">
        <v>236</v>
      </c>
      <c r="C69" t="s">
        <v>169</v>
      </c>
    </row>
    <row r="70" spans="1:3" ht="15.75" thickBot="1" x14ac:dyDescent="0.3">
      <c r="A70" s="43">
        <v>983214770</v>
      </c>
      <c r="B70" s="41" t="s">
        <v>237</v>
      </c>
      <c r="C70" t="s">
        <v>169</v>
      </c>
    </row>
    <row r="71" spans="1:3" ht="15.75" thickBot="1" x14ac:dyDescent="0.3">
      <c r="A71" s="43">
        <v>972209503</v>
      </c>
      <c r="B71" s="41" t="s">
        <v>238</v>
      </c>
      <c r="C71" t="s">
        <v>169</v>
      </c>
    </row>
    <row r="72" spans="1:3" ht="15.75" thickBot="1" x14ac:dyDescent="0.3">
      <c r="A72" s="43">
        <v>980098974</v>
      </c>
      <c r="B72" s="41" t="s">
        <v>239</v>
      </c>
      <c r="C72" t="s">
        <v>169</v>
      </c>
    </row>
    <row r="73" spans="1:3" ht="15.75" thickBot="1" x14ac:dyDescent="0.3">
      <c r="A73" s="43">
        <v>973304143</v>
      </c>
      <c r="B73" s="41" t="s">
        <v>240</v>
      </c>
      <c r="C73" t="s">
        <v>169</v>
      </c>
    </row>
    <row r="74" spans="1:3" ht="15.75" thickBot="1" x14ac:dyDescent="0.3">
      <c r="A74" s="43">
        <v>981133234</v>
      </c>
      <c r="B74" s="41" t="s">
        <v>241</v>
      </c>
      <c r="C74" t="s">
        <v>169</v>
      </c>
    </row>
    <row r="75" spans="1:3" ht="15.75" thickBot="1" x14ac:dyDescent="0.3">
      <c r="A75" s="43">
        <v>994947362</v>
      </c>
      <c r="B75" s="41" t="s">
        <v>242</v>
      </c>
      <c r="C75" t="s">
        <v>169</v>
      </c>
    </row>
    <row r="76" spans="1:3" ht="15.75" thickBot="1" x14ac:dyDescent="0.3">
      <c r="A76" s="43">
        <v>920560504</v>
      </c>
      <c r="B76" s="41" t="s">
        <v>243</v>
      </c>
      <c r="C76" t="s">
        <v>169</v>
      </c>
    </row>
    <row r="77" spans="1:3" ht="15.75" thickBot="1" x14ac:dyDescent="0.3">
      <c r="A77" s="43">
        <v>982926610</v>
      </c>
      <c r="B77" s="41" t="s">
        <v>244</v>
      </c>
      <c r="C77" t="s">
        <v>169</v>
      </c>
    </row>
    <row r="78" spans="1:3" ht="15.75" thickBot="1" x14ac:dyDescent="0.3">
      <c r="A78" s="43">
        <v>974702843</v>
      </c>
      <c r="B78" s="41" t="s">
        <v>245</v>
      </c>
      <c r="C78" t="s">
        <v>169</v>
      </c>
    </row>
    <row r="79" spans="1:3" ht="15.75" thickBot="1" x14ac:dyDescent="0.3">
      <c r="A79" s="43">
        <v>973479881</v>
      </c>
      <c r="B79" s="41" t="s">
        <v>246</v>
      </c>
      <c r="C79" t="s">
        <v>169</v>
      </c>
    </row>
    <row r="80" spans="1:3" ht="15.75" thickBot="1" x14ac:dyDescent="0.3">
      <c r="A80" s="43">
        <v>972138487</v>
      </c>
      <c r="B80" s="41" t="s">
        <v>247</v>
      </c>
      <c r="C80" t="s">
        <v>169</v>
      </c>
    </row>
    <row r="81" spans="1:3" ht="15.75" thickBot="1" x14ac:dyDescent="0.3">
      <c r="A81" s="43">
        <v>994915274</v>
      </c>
      <c r="B81" s="41" t="s">
        <v>248</v>
      </c>
      <c r="C81" t="s">
        <v>169</v>
      </c>
    </row>
    <row r="82" spans="1:3" ht="15.75" thickBot="1" x14ac:dyDescent="0.3">
      <c r="A82" s="43">
        <v>973469983</v>
      </c>
      <c r="B82" s="41" t="s">
        <v>249</v>
      </c>
      <c r="C82" t="s">
        <v>169</v>
      </c>
    </row>
    <row r="83" spans="1:3" ht="24.75" thickBot="1" x14ac:dyDescent="0.3">
      <c r="A83" s="43">
        <v>996004783</v>
      </c>
      <c r="B83" s="41" t="s">
        <v>250</v>
      </c>
      <c r="C83" t="s">
        <v>169</v>
      </c>
    </row>
    <row r="84" spans="1:3" ht="15.75" thickBot="1" x14ac:dyDescent="0.3">
      <c r="A84" s="43">
        <v>994902903</v>
      </c>
      <c r="B84" s="41" t="s">
        <v>251</v>
      </c>
      <c r="C84" t="s">
        <v>169</v>
      </c>
    </row>
    <row r="85" spans="1:3" ht="15.75" thickBot="1" x14ac:dyDescent="0.3">
      <c r="A85" s="43">
        <v>972517038</v>
      </c>
      <c r="B85" s="41" t="s">
        <v>252</v>
      </c>
      <c r="C85" t="s">
        <v>169</v>
      </c>
    </row>
    <row r="86" spans="1:3" ht="15.75" thickBot="1" x14ac:dyDescent="0.3">
      <c r="A86" s="43">
        <v>975185117</v>
      </c>
      <c r="B86" s="41" t="s">
        <v>253</v>
      </c>
      <c r="C86" t="s">
        <v>169</v>
      </c>
    </row>
    <row r="87" spans="1:3" ht="15.75" thickBot="1" x14ac:dyDescent="0.3">
      <c r="A87" s="43">
        <v>874703362</v>
      </c>
      <c r="B87" s="41" t="s">
        <v>254</v>
      </c>
      <c r="C87" t="s">
        <v>169</v>
      </c>
    </row>
    <row r="88" spans="1:3" ht="15.75" thickBot="1" x14ac:dyDescent="0.3">
      <c r="A88" s="43">
        <v>973455710</v>
      </c>
      <c r="B88" s="41" t="s">
        <v>255</v>
      </c>
      <c r="C88" t="s">
        <v>169</v>
      </c>
    </row>
    <row r="89" spans="1:3" ht="15.75" thickBot="1" x14ac:dyDescent="0.3">
      <c r="A89" s="43">
        <v>974703386</v>
      </c>
      <c r="B89" s="41" t="s">
        <v>256</v>
      </c>
      <c r="C89" t="s">
        <v>169</v>
      </c>
    </row>
    <row r="90" spans="1:3" ht="15.75" thickBot="1" x14ac:dyDescent="0.3">
      <c r="A90" s="43">
        <v>995119560</v>
      </c>
      <c r="B90" s="41" t="s">
        <v>257</v>
      </c>
      <c r="C90" t="s">
        <v>169</v>
      </c>
    </row>
    <row r="91" spans="1:3" ht="24.75" thickBot="1" x14ac:dyDescent="0.3">
      <c r="A91" s="43">
        <v>974725142</v>
      </c>
      <c r="B91" s="41" t="s">
        <v>258</v>
      </c>
      <c r="C91" t="s">
        <v>169</v>
      </c>
    </row>
    <row r="92" spans="1:3" ht="15.75" thickBot="1" x14ac:dyDescent="0.3">
      <c r="A92" s="43">
        <v>889857072</v>
      </c>
      <c r="B92" s="41" t="s">
        <v>259</v>
      </c>
      <c r="C92" t="s">
        <v>169</v>
      </c>
    </row>
    <row r="93" spans="1:3" ht="15.75" thickBot="1" x14ac:dyDescent="0.3">
      <c r="A93" s="43">
        <v>974224356</v>
      </c>
      <c r="B93" s="41" t="s">
        <v>260</v>
      </c>
      <c r="C93" t="s">
        <v>169</v>
      </c>
    </row>
    <row r="94" spans="1:3" ht="24.75" thickBot="1" x14ac:dyDescent="0.3">
      <c r="A94" s="43">
        <v>979781857</v>
      </c>
      <c r="B94" s="41" t="s">
        <v>261</v>
      </c>
      <c r="C94" t="s">
        <v>169</v>
      </c>
    </row>
    <row r="95" spans="1:3" ht="15.75" thickBot="1" x14ac:dyDescent="0.3">
      <c r="A95" s="43">
        <v>974142740</v>
      </c>
      <c r="B95" s="41" t="s">
        <v>262</v>
      </c>
      <c r="C95" t="s">
        <v>169</v>
      </c>
    </row>
    <row r="96" spans="1:3" ht="15.75" thickBot="1" x14ac:dyDescent="0.3">
      <c r="A96" s="43">
        <v>931679007</v>
      </c>
      <c r="B96" s="41" t="s">
        <v>263</v>
      </c>
      <c r="C96" t="s">
        <v>169</v>
      </c>
    </row>
    <row r="97" spans="1:3" ht="15.75" thickBot="1" x14ac:dyDescent="0.3">
      <c r="A97" s="43">
        <v>973448633</v>
      </c>
      <c r="B97" s="41" t="s">
        <v>264</v>
      </c>
      <c r="C97" t="s">
        <v>169</v>
      </c>
    </row>
    <row r="98" spans="1:3" ht="15.75" thickBot="1" x14ac:dyDescent="0.3">
      <c r="A98" s="43">
        <v>974857561</v>
      </c>
      <c r="B98" s="41" t="s">
        <v>265</v>
      </c>
      <c r="C98" t="s">
        <v>169</v>
      </c>
    </row>
    <row r="99" spans="1:3" ht="15.75" thickBot="1" x14ac:dyDescent="0.3">
      <c r="A99" s="43">
        <v>973382322</v>
      </c>
      <c r="B99" s="41" t="s">
        <v>266</v>
      </c>
      <c r="C99" t="s">
        <v>169</v>
      </c>
    </row>
    <row r="100" spans="1:3" ht="15.75" thickBot="1" x14ac:dyDescent="0.3">
      <c r="A100" s="43">
        <v>993266361</v>
      </c>
      <c r="B100" s="41" t="s">
        <v>267</v>
      </c>
      <c r="C100" t="s">
        <v>169</v>
      </c>
    </row>
    <row r="101" spans="1:3" ht="24.75" thickBot="1" x14ac:dyDescent="0.3">
      <c r="A101" s="43">
        <v>981098749</v>
      </c>
      <c r="B101" s="41" t="s">
        <v>268</v>
      </c>
      <c r="C101" t="s">
        <v>169</v>
      </c>
    </row>
    <row r="102" spans="1:3" ht="15.75" thickBot="1" x14ac:dyDescent="0.3">
      <c r="A102" s="43">
        <v>973489321</v>
      </c>
      <c r="B102" s="41" t="s">
        <v>269</v>
      </c>
      <c r="C102" t="s">
        <v>169</v>
      </c>
    </row>
    <row r="103" spans="1:3" ht="15.75" thickBot="1" x14ac:dyDescent="0.3">
      <c r="A103" s="43">
        <v>973494368</v>
      </c>
      <c r="B103" s="41" t="s">
        <v>270</v>
      </c>
      <c r="C103" t="s">
        <v>169</v>
      </c>
    </row>
    <row r="104" spans="1:3" ht="15.75" thickBot="1" x14ac:dyDescent="0.3">
      <c r="A104" s="43">
        <v>979740530</v>
      </c>
      <c r="B104" s="41" t="s">
        <v>271</v>
      </c>
      <c r="C104" t="s">
        <v>169</v>
      </c>
    </row>
    <row r="105" spans="1:3" ht="15.75" thickBot="1" x14ac:dyDescent="0.3">
      <c r="A105" s="43">
        <v>996000540</v>
      </c>
      <c r="B105" s="41" t="s">
        <v>272</v>
      </c>
      <c r="C105" t="s">
        <v>169</v>
      </c>
    </row>
    <row r="106" spans="1:3" ht="15.75" thickBot="1" x14ac:dyDescent="0.3">
      <c r="A106" s="43">
        <v>974798670</v>
      </c>
      <c r="B106" s="41" t="s">
        <v>273</v>
      </c>
      <c r="C106" t="s">
        <v>169</v>
      </c>
    </row>
    <row r="107" spans="1:3" ht="15.75" thickBot="1" x14ac:dyDescent="0.3">
      <c r="A107" s="43">
        <v>973390953</v>
      </c>
      <c r="B107" s="41" t="s">
        <v>274</v>
      </c>
      <c r="C107" t="s">
        <v>169</v>
      </c>
    </row>
    <row r="108" spans="1:3" ht="15.75" thickBot="1" x14ac:dyDescent="0.3">
      <c r="A108" s="43">
        <v>875211382</v>
      </c>
      <c r="B108" s="41" t="s">
        <v>275</v>
      </c>
      <c r="C108" t="s">
        <v>169</v>
      </c>
    </row>
    <row r="109" spans="1:3" ht="15.75" thickBot="1" x14ac:dyDescent="0.3">
      <c r="A109" s="43">
        <v>985917981</v>
      </c>
      <c r="B109" s="41" t="s">
        <v>276</v>
      </c>
      <c r="C109" t="s">
        <v>169</v>
      </c>
    </row>
    <row r="110" spans="1:3" ht="15.75" thickBot="1" x14ac:dyDescent="0.3">
      <c r="A110" s="43">
        <v>974197901</v>
      </c>
      <c r="B110" s="41" t="s">
        <v>277</v>
      </c>
      <c r="C110" t="s">
        <v>169</v>
      </c>
    </row>
    <row r="111" spans="1:3" ht="15.75" thickBot="1" x14ac:dyDescent="0.3">
      <c r="A111" s="43">
        <v>973456458</v>
      </c>
      <c r="B111" s="41" t="s">
        <v>278</v>
      </c>
      <c r="C111" t="s">
        <v>169</v>
      </c>
    </row>
    <row r="112" spans="1:3" ht="15.75" thickBot="1" x14ac:dyDescent="0.3">
      <c r="A112" s="43">
        <v>987751894</v>
      </c>
      <c r="B112" s="41" t="s">
        <v>279</v>
      </c>
      <c r="C112" t="s">
        <v>169</v>
      </c>
    </row>
    <row r="113" spans="1:3" ht="15.75" thickBot="1" x14ac:dyDescent="0.3">
      <c r="A113" s="43">
        <v>973535765</v>
      </c>
      <c r="B113" s="41" t="s">
        <v>280</v>
      </c>
      <c r="C113" t="s">
        <v>169</v>
      </c>
    </row>
    <row r="114" spans="1:3" ht="15.75" thickBot="1" x14ac:dyDescent="0.3">
      <c r="A114" s="43">
        <v>973772503</v>
      </c>
      <c r="B114" s="41" t="s">
        <v>281</v>
      </c>
      <c r="C114" t="s">
        <v>169</v>
      </c>
    </row>
    <row r="115" spans="1:3" ht="15.75" thickBot="1" x14ac:dyDescent="0.3">
      <c r="A115" s="43">
        <v>996006158</v>
      </c>
      <c r="B115" s="41" t="s">
        <v>282</v>
      </c>
      <c r="C115" t="s">
        <v>169</v>
      </c>
    </row>
    <row r="116" spans="1:3" ht="15.75" thickBot="1" x14ac:dyDescent="0.3">
      <c r="A116" s="43">
        <v>974194678</v>
      </c>
      <c r="B116" s="41" t="s">
        <v>283</v>
      </c>
      <c r="C116" t="s">
        <v>169</v>
      </c>
    </row>
    <row r="117" spans="1:3" ht="15.75" thickBot="1" x14ac:dyDescent="0.3">
      <c r="A117" s="43">
        <v>975266842</v>
      </c>
      <c r="B117" s="41" t="s">
        <v>284</v>
      </c>
      <c r="C117" t="s">
        <v>169</v>
      </c>
    </row>
    <row r="118" spans="1:3" ht="15.75" thickBot="1" x14ac:dyDescent="0.3">
      <c r="A118" s="43">
        <v>994274406</v>
      </c>
      <c r="B118" s="41" t="s">
        <v>285</v>
      </c>
      <c r="C118" t="s">
        <v>169</v>
      </c>
    </row>
    <row r="119" spans="1:3" ht="24.75" thickBot="1" x14ac:dyDescent="0.3">
      <c r="A119" s="43">
        <v>974703408</v>
      </c>
      <c r="B119" s="41" t="s">
        <v>286</v>
      </c>
      <c r="C119" t="s">
        <v>169</v>
      </c>
    </row>
    <row r="120" spans="1:3" ht="15.75" thickBot="1" x14ac:dyDescent="0.3">
      <c r="A120" s="43">
        <v>974156458</v>
      </c>
      <c r="B120" s="41" t="s">
        <v>287</v>
      </c>
      <c r="C120" t="s">
        <v>169</v>
      </c>
    </row>
    <row r="121" spans="1:3" ht="15.75" thickBot="1" x14ac:dyDescent="0.3">
      <c r="A121" s="43">
        <v>973334875</v>
      </c>
      <c r="B121" s="41" t="s">
        <v>288</v>
      </c>
      <c r="C121" t="s">
        <v>169</v>
      </c>
    </row>
    <row r="122" spans="1:3" ht="15.75" thickBot="1" x14ac:dyDescent="0.3">
      <c r="A122" s="43">
        <v>972339563</v>
      </c>
      <c r="B122" s="41" t="s">
        <v>289</v>
      </c>
      <c r="C122" t="s">
        <v>169</v>
      </c>
    </row>
    <row r="123" spans="1:3" ht="15.75" thickBot="1" x14ac:dyDescent="0.3">
      <c r="A123" s="43">
        <v>983604560</v>
      </c>
      <c r="B123" s="41" t="s">
        <v>290</v>
      </c>
      <c r="C123" t="s">
        <v>169</v>
      </c>
    </row>
    <row r="124" spans="1:3" ht="15.75" thickBot="1" x14ac:dyDescent="0.3">
      <c r="A124" s="43">
        <v>973763881</v>
      </c>
      <c r="B124" s="41" t="s">
        <v>291</v>
      </c>
      <c r="C124" t="s">
        <v>169</v>
      </c>
    </row>
    <row r="125" spans="1:3" ht="15.75" thickBot="1" x14ac:dyDescent="0.3">
      <c r="A125" s="43">
        <v>973456466</v>
      </c>
      <c r="B125" s="41" t="s">
        <v>292</v>
      </c>
      <c r="C125" t="s">
        <v>169</v>
      </c>
    </row>
    <row r="126" spans="1:3" ht="15.75" thickBot="1" x14ac:dyDescent="0.3">
      <c r="A126" s="43">
        <v>973458515</v>
      </c>
      <c r="B126" s="41" t="s">
        <v>293</v>
      </c>
      <c r="C126" t="s">
        <v>169</v>
      </c>
    </row>
    <row r="127" spans="1:3" ht="24.75" thickBot="1" x14ac:dyDescent="0.3">
      <c r="A127" s="43">
        <v>990635498</v>
      </c>
      <c r="B127" s="41" t="s">
        <v>294</v>
      </c>
      <c r="C127" t="s">
        <v>169</v>
      </c>
    </row>
    <row r="128" spans="1:3" ht="15.75" thickBot="1" x14ac:dyDescent="0.3">
      <c r="A128" s="43">
        <v>990635285</v>
      </c>
      <c r="B128" s="41" t="s">
        <v>295</v>
      </c>
      <c r="C128" t="s">
        <v>169</v>
      </c>
    </row>
    <row r="129" spans="1:3" ht="15.75" thickBot="1" x14ac:dyDescent="0.3">
      <c r="A129" s="43">
        <v>991843876</v>
      </c>
      <c r="B129" s="41" t="s">
        <v>296</v>
      </c>
      <c r="C129" t="s">
        <v>169</v>
      </c>
    </row>
    <row r="130" spans="1:3" ht="15.75" thickBot="1" x14ac:dyDescent="0.3">
      <c r="A130" s="43">
        <v>973454528</v>
      </c>
      <c r="B130" s="41" t="s">
        <v>297</v>
      </c>
      <c r="C130" t="s">
        <v>169</v>
      </c>
    </row>
    <row r="131" spans="1:3" ht="15.75" thickBot="1" x14ac:dyDescent="0.3">
      <c r="A131" s="43">
        <v>972290920</v>
      </c>
      <c r="B131" s="41" t="s">
        <v>298</v>
      </c>
      <c r="C131" t="s">
        <v>169</v>
      </c>
    </row>
    <row r="132" spans="1:3" ht="15.75" thickBot="1" x14ac:dyDescent="0.3">
      <c r="A132" s="43">
        <v>993481947</v>
      </c>
      <c r="B132" s="41" t="s">
        <v>299</v>
      </c>
      <c r="C132" t="s">
        <v>169</v>
      </c>
    </row>
    <row r="133" spans="1:3" ht="15.75" thickBot="1" x14ac:dyDescent="0.3">
      <c r="A133" s="43">
        <v>973877070</v>
      </c>
      <c r="B133" s="41" t="s">
        <v>300</v>
      </c>
      <c r="C133" t="s">
        <v>169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I75" sqref="I75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301</v>
      </c>
      <c r="B1" t="s">
        <v>46</v>
      </c>
      <c r="C1" t="s">
        <v>302</v>
      </c>
      <c r="D1" t="s">
        <v>303</v>
      </c>
      <c r="E1" t="s">
        <v>15</v>
      </c>
      <c r="F1" t="s">
        <v>100</v>
      </c>
      <c r="I1" t="s">
        <v>304</v>
      </c>
    </row>
    <row r="2" spans="1:24" x14ac:dyDescent="0.25">
      <c r="A2">
        <v>4201</v>
      </c>
      <c r="B2" t="s">
        <v>305</v>
      </c>
      <c r="C2" t="s">
        <v>306</v>
      </c>
      <c r="D2">
        <v>2</v>
      </c>
      <c r="E2">
        <f>_xlfn.XLOOKUP(arbgiveravg[[#This Row],[Sone]],arbeidsgiveravgift[Sone],arbeidsgiveravgift[Sats])</f>
        <v>0.106</v>
      </c>
      <c r="T2" t="s">
        <v>310</v>
      </c>
      <c r="U2" t="s">
        <v>311</v>
      </c>
      <c r="W2" t="s">
        <v>308</v>
      </c>
      <c r="X2" t="s">
        <v>700</v>
      </c>
    </row>
    <row r="3" spans="1:24" x14ac:dyDescent="0.25">
      <c r="A3">
        <v>4202</v>
      </c>
      <c r="B3" t="s">
        <v>307</v>
      </c>
      <c r="C3" t="s">
        <v>306</v>
      </c>
      <c r="D3">
        <v>1</v>
      </c>
      <c r="E3">
        <f>_xlfn.XLOOKUP(arbgiveravg[[#This Row],[Sone]],arbeidsgiveravgift[Sone],arbeidsgiveravgift[Sats])</f>
        <v>0.14099999999999999</v>
      </c>
      <c r="J3" t="s">
        <v>303</v>
      </c>
      <c r="K3" t="s">
        <v>15</v>
      </c>
      <c r="O3" t="s">
        <v>308</v>
      </c>
      <c r="P3" s="54" t="s">
        <v>99</v>
      </c>
      <c r="Q3" t="s">
        <v>49</v>
      </c>
      <c r="S3" t="s">
        <v>309</v>
      </c>
      <c r="W3">
        <v>1</v>
      </c>
      <c r="X3" t="s">
        <v>42</v>
      </c>
    </row>
    <row r="4" spans="1:24" x14ac:dyDescent="0.25">
      <c r="A4">
        <v>4203</v>
      </c>
      <c r="B4" t="s">
        <v>312</v>
      </c>
      <c r="C4" t="s">
        <v>306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4">
        <v>0.14099999999999999</v>
      </c>
      <c r="O4">
        <v>1</v>
      </c>
      <c r="P4" t="s">
        <v>84</v>
      </c>
      <c r="W4">
        <v>2</v>
      </c>
      <c r="X4" t="s">
        <v>43</v>
      </c>
    </row>
    <row r="5" spans="1:24" x14ac:dyDescent="0.25">
      <c r="A5">
        <v>4204</v>
      </c>
      <c r="B5" t="s">
        <v>313</v>
      </c>
      <c r="C5" t="s">
        <v>306</v>
      </c>
      <c r="D5">
        <v>1</v>
      </c>
      <c r="E5">
        <f>_xlfn.XLOOKUP(arbgiveravg[[#This Row],[Sone]],arbeidsgiveravgift[Sone],arbeidsgiveravgift[Sats])</f>
        <v>0.14099999999999999</v>
      </c>
      <c r="J5" t="s">
        <v>314</v>
      </c>
      <c r="K5" s="44">
        <v>0.106</v>
      </c>
      <c r="O5">
        <v>2</v>
      </c>
      <c r="P5" t="s">
        <v>85</v>
      </c>
      <c r="W5">
        <v>3</v>
      </c>
      <c r="X5" t="s">
        <v>699</v>
      </c>
    </row>
    <row r="6" spans="1:24" x14ac:dyDescent="0.25">
      <c r="A6">
        <v>4205</v>
      </c>
      <c r="B6" t="s">
        <v>315</v>
      </c>
      <c r="C6" t="s">
        <v>306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4">
        <v>0.106</v>
      </c>
      <c r="O6">
        <v>3</v>
      </c>
      <c r="P6" t="s">
        <v>86</v>
      </c>
    </row>
    <row r="7" spans="1:24" x14ac:dyDescent="0.25">
      <c r="A7">
        <v>4206</v>
      </c>
      <c r="B7" t="s">
        <v>316</v>
      </c>
      <c r="C7" t="s">
        <v>306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4">
        <v>6.4000000000000001E-2</v>
      </c>
      <c r="O7">
        <v>4</v>
      </c>
      <c r="P7" t="s">
        <v>88</v>
      </c>
    </row>
    <row r="8" spans="1:24" x14ac:dyDescent="0.25">
      <c r="A8">
        <v>4207</v>
      </c>
      <c r="B8" t="s">
        <v>317</v>
      </c>
      <c r="C8" t="s">
        <v>306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4">
        <v>5.0999999999999997E-2</v>
      </c>
      <c r="O8">
        <v>5</v>
      </c>
      <c r="P8" t="s">
        <v>89</v>
      </c>
    </row>
    <row r="9" spans="1:24" x14ac:dyDescent="0.25">
      <c r="A9">
        <v>4211</v>
      </c>
      <c r="B9" t="s">
        <v>318</v>
      </c>
      <c r="C9" t="s">
        <v>306</v>
      </c>
      <c r="D9">
        <v>2</v>
      </c>
      <c r="E9">
        <f>_xlfn.XLOOKUP(arbgiveravg[[#This Row],[Sone]],arbeidsgiveravgift[Sone],arbeidsgiveravgift[Sats])</f>
        <v>0.106</v>
      </c>
      <c r="J9" t="s">
        <v>319</v>
      </c>
      <c r="K9" s="44">
        <v>7.9000000000000001E-2</v>
      </c>
      <c r="O9">
        <v>6</v>
      </c>
      <c r="P9" t="s">
        <v>90</v>
      </c>
    </row>
    <row r="10" spans="1:24" x14ac:dyDescent="0.25">
      <c r="A10">
        <v>4212</v>
      </c>
      <c r="B10" t="s">
        <v>320</v>
      </c>
      <c r="C10" t="s">
        <v>306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5">
        <v>0</v>
      </c>
      <c r="O10">
        <v>7</v>
      </c>
      <c r="P10" t="s">
        <v>91</v>
      </c>
    </row>
    <row r="11" spans="1:24" x14ac:dyDescent="0.25">
      <c r="A11">
        <v>4213</v>
      </c>
      <c r="B11" t="s">
        <v>321</v>
      </c>
      <c r="C11" t="s">
        <v>306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760</v>
      </c>
    </row>
    <row r="12" spans="1:24" x14ac:dyDescent="0.25">
      <c r="A12">
        <v>4214</v>
      </c>
      <c r="B12" t="s">
        <v>322</v>
      </c>
      <c r="C12" t="s">
        <v>306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726</v>
      </c>
    </row>
    <row r="13" spans="1:24" x14ac:dyDescent="0.25">
      <c r="A13">
        <v>4215</v>
      </c>
      <c r="B13" t="s">
        <v>323</v>
      </c>
      <c r="C13" t="s">
        <v>306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92</v>
      </c>
    </row>
    <row r="14" spans="1:24" x14ac:dyDescent="0.25">
      <c r="A14">
        <v>4216</v>
      </c>
      <c r="B14" t="s">
        <v>324</v>
      </c>
      <c r="C14" t="s">
        <v>306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729</v>
      </c>
    </row>
    <row r="15" spans="1:24" x14ac:dyDescent="0.25">
      <c r="A15">
        <v>4217</v>
      </c>
      <c r="B15" t="s">
        <v>325</v>
      </c>
      <c r="C15" t="s">
        <v>306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87</v>
      </c>
    </row>
    <row r="16" spans="1:24" x14ac:dyDescent="0.25">
      <c r="A16">
        <v>4218</v>
      </c>
      <c r="B16" t="s">
        <v>326</v>
      </c>
      <c r="C16" t="s">
        <v>306</v>
      </c>
      <c r="D16" t="s">
        <v>314</v>
      </c>
      <c r="E16">
        <f>_xlfn.XLOOKUP(arbgiveravg[[#This Row],[Sone]],arbeidsgiveravgift[Sone],arbeidsgiveravgift[Sats])</f>
        <v>0.106</v>
      </c>
      <c r="O16">
        <v>14</v>
      </c>
      <c r="P16" t="s">
        <v>95</v>
      </c>
    </row>
    <row r="17" spans="1:16" x14ac:dyDescent="0.25">
      <c r="A17">
        <v>4219</v>
      </c>
      <c r="B17" t="s">
        <v>327</v>
      </c>
      <c r="C17" t="s">
        <v>306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96</v>
      </c>
    </row>
    <row r="18" spans="1:16" x14ac:dyDescent="0.25">
      <c r="A18">
        <v>4220</v>
      </c>
      <c r="B18" t="s">
        <v>328</v>
      </c>
      <c r="C18" t="s">
        <v>306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97</v>
      </c>
    </row>
    <row r="19" spans="1:16" x14ac:dyDescent="0.25">
      <c r="A19">
        <v>4221</v>
      </c>
      <c r="B19" t="s">
        <v>329</v>
      </c>
      <c r="C19" t="s">
        <v>306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728</v>
      </c>
    </row>
    <row r="20" spans="1:16" x14ac:dyDescent="0.25">
      <c r="A20">
        <v>4222</v>
      </c>
      <c r="B20" t="s">
        <v>330</v>
      </c>
      <c r="C20" t="s">
        <v>306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93</v>
      </c>
    </row>
    <row r="21" spans="1:16" x14ac:dyDescent="0.25">
      <c r="A21">
        <v>4223</v>
      </c>
      <c r="B21" t="s">
        <v>331</v>
      </c>
      <c r="C21" t="s">
        <v>306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43</v>
      </c>
    </row>
    <row r="22" spans="1:16" x14ac:dyDescent="0.25">
      <c r="A22">
        <v>4224</v>
      </c>
      <c r="B22" t="s">
        <v>332</v>
      </c>
      <c r="C22" t="s">
        <v>306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94</v>
      </c>
    </row>
    <row r="23" spans="1:16" x14ac:dyDescent="0.25">
      <c r="A23">
        <v>4225</v>
      </c>
      <c r="B23" t="s">
        <v>333</v>
      </c>
      <c r="C23" t="s">
        <v>306</v>
      </c>
      <c r="D23" t="s">
        <v>314</v>
      </c>
      <c r="E23">
        <f>_xlfn.XLOOKUP(arbgiveravg[[#This Row],[Sone]],arbeidsgiveravgift[Sone],arbeidsgiveravgift[Sats])</f>
        <v>0.106</v>
      </c>
      <c r="F23" t="s">
        <v>334</v>
      </c>
      <c r="O23">
        <v>21</v>
      </c>
    </row>
    <row r="24" spans="1:16" x14ac:dyDescent="0.25">
      <c r="A24">
        <v>4225</v>
      </c>
      <c r="B24" t="s">
        <v>333</v>
      </c>
      <c r="C24" t="s">
        <v>306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</row>
    <row r="25" spans="1:16" x14ac:dyDescent="0.25">
      <c r="A25">
        <v>4226</v>
      </c>
      <c r="B25" t="s">
        <v>335</v>
      </c>
      <c r="C25" t="s">
        <v>306</v>
      </c>
      <c r="D25" t="s">
        <v>314</v>
      </c>
      <c r="E25">
        <f>_xlfn.XLOOKUP(arbgiveravg[[#This Row],[Sone]],arbeidsgiveravgift[Sone],arbeidsgiveravgift[Sats])</f>
        <v>0.106</v>
      </c>
      <c r="O25">
        <v>23</v>
      </c>
    </row>
    <row r="26" spans="1:16" x14ac:dyDescent="0.25">
      <c r="A26">
        <v>4227</v>
      </c>
      <c r="B26" t="s">
        <v>336</v>
      </c>
      <c r="C26" t="s">
        <v>306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337</v>
      </c>
      <c r="C27" t="s">
        <v>306</v>
      </c>
      <c r="D27" t="s">
        <v>314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338</v>
      </c>
      <c r="C28" t="s">
        <v>339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340</v>
      </c>
      <c r="C29" t="s">
        <v>339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341</v>
      </c>
      <c r="C30" t="s">
        <v>339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342</v>
      </c>
      <c r="C31" t="s">
        <v>339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343</v>
      </c>
      <c r="C32" t="s">
        <v>339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344</v>
      </c>
      <c r="C33" t="s">
        <v>339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345</v>
      </c>
      <c r="C34" t="s">
        <v>339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346</v>
      </c>
      <c r="C35" t="s">
        <v>339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347</v>
      </c>
      <c r="C36" t="s">
        <v>339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348</v>
      </c>
      <c r="C37" t="s">
        <v>339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349</v>
      </c>
      <c r="C38" t="s">
        <v>339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350</v>
      </c>
      <c r="C39" t="s">
        <v>339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351</v>
      </c>
      <c r="C40" t="s">
        <v>339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352</v>
      </c>
      <c r="C41" t="s">
        <v>339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353</v>
      </c>
      <c r="C42" t="s">
        <v>339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354</v>
      </c>
      <c r="C43" t="s">
        <v>339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355</v>
      </c>
      <c r="C44" t="s">
        <v>339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356</v>
      </c>
      <c r="C45" t="s">
        <v>339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357</v>
      </c>
      <c r="C46" t="s">
        <v>339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358</v>
      </c>
      <c r="C47" t="s">
        <v>339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359</v>
      </c>
      <c r="C48" t="s">
        <v>339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360</v>
      </c>
      <c r="C49" t="s">
        <v>361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362</v>
      </c>
      <c r="C50" t="s">
        <v>361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363</v>
      </c>
      <c r="C51" t="s">
        <v>361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364</v>
      </c>
      <c r="C52" t="s">
        <v>361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365</v>
      </c>
      <c r="C53" t="s">
        <v>361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366</v>
      </c>
      <c r="C54" t="s">
        <v>361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367</v>
      </c>
      <c r="C55" t="s">
        <v>361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368</v>
      </c>
      <c r="C56" t="s">
        <v>361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369</v>
      </c>
      <c r="C57" t="s">
        <v>361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370</v>
      </c>
      <c r="C58" t="s">
        <v>361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371</v>
      </c>
      <c r="C59" t="s">
        <v>361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372</v>
      </c>
      <c r="C60" t="s">
        <v>361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373</v>
      </c>
      <c r="C61" t="s">
        <v>361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374</v>
      </c>
      <c r="C62" t="s">
        <v>361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375</v>
      </c>
      <c r="C63" t="s">
        <v>361</v>
      </c>
      <c r="D63" t="s">
        <v>314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376</v>
      </c>
      <c r="C64" t="s">
        <v>361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377</v>
      </c>
      <c r="C65" t="s">
        <v>361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378</v>
      </c>
      <c r="C66" t="s">
        <v>361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379</v>
      </c>
      <c r="C67" t="s">
        <v>380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381</v>
      </c>
      <c r="C68" t="s">
        <v>380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382</v>
      </c>
      <c r="C69" t="s">
        <v>380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383</v>
      </c>
      <c r="C70" t="s">
        <v>380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384</v>
      </c>
      <c r="C71" t="s">
        <v>380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385</v>
      </c>
      <c r="C72" t="s">
        <v>380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386</v>
      </c>
      <c r="C73" t="s">
        <v>380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387</v>
      </c>
      <c r="C74" t="s">
        <v>380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388</v>
      </c>
      <c r="C75" t="s">
        <v>380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389</v>
      </c>
      <c r="C76" t="s">
        <v>380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390</v>
      </c>
      <c r="C77" t="s">
        <v>380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391</v>
      </c>
      <c r="C78" t="s">
        <v>380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392</v>
      </c>
      <c r="C79" t="s">
        <v>380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393</v>
      </c>
      <c r="C80" t="s">
        <v>380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394</v>
      </c>
      <c r="C81" t="s">
        <v>380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395</v>
      </c>
      <c r="C82" t="s">
        <v>380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396</v>
      </c>
      <c r="C83" t="s">
        <v>380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397</v>
      </c>
      <c r="C84" t="s">
        <v>380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398</v>
      </c>
      <c r="C85" t="s">
        <v>41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399</v>
      </c>
      <c r="C86" t="s">
        <v>41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400</v>
      </c>
      <c r="C87" t="s">
        <v>41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401</v>
      </c>
      <c r="C88" t="s">
        <v>41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402</v>
      </c>
      <c r="C89" t="s">
        <v>41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403</v>
      </c>
      <c r="C90" t="s">
        <v>41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404</v>
      </c>
      <c r="C91" t="s">
        <v>41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405</v>
      </c>
      <c r="C92" t="s">
        <v>41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406</v>
      </c>
      <c r="C93" t="s">
        <v>41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407</v>
      </c>
      <c r="C94" t="s">
        <v>41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408</v>
      </c>
      <c r="C95" t="s">
        <v>41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409</v>
      </c>
      <c r="C96" t="s">
        <v>41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410</v>
      </c>
      <c r="C97" t="s">
        <v>41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411</v>
      </c>
      <c r="C98" t="s">
        <v>41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412</v>
      </c>
      <c r="C99" t="s">
        <v>41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413</v>
      </c>
      <c r="C100" t="s">
        <v>41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414</v>
      </c>
      <c r="C101" t="s">
        <v>41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415</v>
      </c>
      <c r="C102" t="s">
        <v>41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416</v>
      </c>
      <c r="C103" t="s">
        <v>41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417</v>
      </c>
      <c r="C104" t="s">
        <v>41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418</v>
      </c>
      <c r="C105" t="s">
        <v>41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419</v>
      </c>
      <c r="C106" t="s">
        <v>41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420</v>
      </c>
      <c r="C107" t="s">
        <v>41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421</v>
      </c>
      <c r="C108" t="s">
        <v>41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422</v>
      </c>
      <c r="C109" t="s">
        <v>41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423</v>
      </c>
      <c r="C110" t="s">
        <v>41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424</v>
      </c>
      <c r="C111" t="s">
        <v>41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425</v>
      </c>
      <c r="C112" t="s">
        <v>41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426</v>
      </c>
      <c r="C113" t="s">
        <v>41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427</v>
      </c>
      <c r="C114" t="s">
        <v>41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428</v>
      </c>
      <c r="C115" t="s">
        <v>41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429</v>
      </c>
      <c r="C116" t="s">
        <v>41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430</v>
      </c>
      <c r="C117" t="s">
        <v>41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431</v>
      </c>
      <c r="C118" t="s">
        <v>41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432</v>
      </c>
      <c r="C119" t="s">
        <v>41</v>
      </c>
      <c r="D119" t="s">
        <v>314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433</v>
      </c>
      <c r="C120" t="s">
        <v>41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434</v>
      </c>
      <c r="C121" t="s">
        <v>41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40</v>
      </c>
      <c r="C122" t="s">
        <v>41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435</v>
      </c>
      <c r="C123" t="s">
        <v>41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436</v>
      </c>
      <c r="C124" t="s">
        <v>41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437</v>
      </c>
      <c r="C125" t="s">
        <v>41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438</v>
      </c>
      <c r="C126" t="s">
        <v>41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439</v>
      </c>
      <c r="C127" t="s">
        <v>41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440</v>
      </c>
      <c r="C128" t="s">
        <v>41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441</v>
      </c>
      <c r="C129" t="s">
        <v>41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442</v>
      </c>
      <c r="C130" t="s">
        <v>41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443</v>
      </c>
      <c r="C131" t="s">
        <v>444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445</v>
      </c>
      <c r="C132" t="s">
        <v>444</v>
      </c>
      <c r="D132">
        <v>2</v>
      </c>
      <c r="E132">
        <f>_xlfn.XLOOKUP(arbgiveravg[[#This Row],[Sone]],arbeidsgiveravgift[Sone],arbeidsgiveravgift[Sats])</f>
        <v>0.106</v>
      </c>
      <c r="F132" t="s">
        <v>446</v>
      </c>
    </row>
    <row r="133" spans="1:6" x14ac:dyDescent="0.25">
      <c r="A133">
        <v>1506</v>
      </c>
      <c r="B133" t="s">
        <v>445</v>
      </c>
      <c r="C133" t="s">
        <v>444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447</v>
      </c>
      <c r="C134" t="s">
        <v>444</v>
      </c>
      <c r="D134">
        <v>2</v>
      </c>
      <c r="E134">
        <f>_xlfn.XLOOKUP(arbgiveravg[[#This Row],[Sone]],arbeidsgiveravgift[Sone],arbeidsgiveravgift[Sats])</f>
        <v>0.106</v>
      </c>
      <c r="F134" t="s">
        <v>448</v>
      </c>
    </row>
    <row r="135" spans="1:6" x14ac:dyDescent="0.25">
      <c r="A135">
        <v>1508</v>
      </c>
      <c r="B135" t="s">
        <v>447</v>
      </c>
      <c r="C135" t="s">
        <v>444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449</v>
      </c>
      <c r="C136" t="s">
        <v>444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450</v>
      </c>
      <c r="C137" t="s">
        <v>444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451</v>
      </c>
      <c r="C138" t="s">
        <v>444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452</v>
      </c>
      <c r="C139" t="s">
        <v>444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453</v>
      </c>
      <c r="C140" t="s">
        <v>444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454</v>
      </c>
      <c r="C141" t="s">
        <v>444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455</v>
      </c>
      <c r="C142" t="s">
        <v>444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456</v>
      </c>
      <c r="C143" t="s">
        <v>444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457</v>
      </c>
      <c r="C144" t="s">
        <v>444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458</v>
      </c>
      <c r="C145" t="s">
        <v>444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459</v>
      </c>
      <c r="C146" t="s">
        <v>444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460</v>
      </c>
      <c r="C147" t="s">
        <v>444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461</v>
      </c>
      <c r="C148" t="s">
        <v>444</v>
      </c>
      <c r="D148" t="s">
        <v>314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462</v>
      </c>
      <c r="C149" t="s">
        <v>444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463</v>
      </c>
      <c r="C150" t="s">
        <v>444</v>
      </c>
      <c r="D150" t="s">
        <v>314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464</v>
      </c>
      <c r="C151" t="s">
        <v>444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465</v>
      </c>
      <c r="C152" t="s">
        <v>444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466</v>
      </c>
      <c r="C153" t="s">
        <v>444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467</v>
      </c>
      <c r="C154" t="s">
        <v>444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468</v>
      </c>
      <c r="C155" t="s">
        <v>444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469</v>
      </c>
      <c r="C156" t="s">
        <v>444</v>
      </c>
      <c r="D156">
        <v>2</v>
      </c>
      <c r="E156">
        <f>_xlfn.XLOOKUP(arbgiveravg[[#This Row],[Sone]],arbeidsgiveravgift[Sone],arbeidsgiveravgift[Sats])</f>
        <v>0.106</v>
      </c>
      <c r="F156" t="s">
        <v>470</v>
      </c>
    </row>
    <row r="157" spans="1:6" x14ac:dyDescent="0.25">
      <c r="A157">
        <v>1577</v>
      </c>
      <c r="B157" t="s">
        <v>469</v>
      </c>
      <c r="C157" t="s">
        <v>444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471</v>
      </c>
      <c r="C158" t="s">
        <v>444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472</v>
      </c>
      <c r="C159" t="s">
        <v>444</v>
      </c>
      <c r="D159" t="s">
        <v>314</v>
      </c>
      <c r="E159">
        <f>_xlfn.XLOOKUP(arbgiveravg[[#This Row],[Sone]],arbeidsgiveravgift[Sone],arbeidsgiveravgift[Sats])</f>
        <v>0.106</v>
      </c>
      <c r="F159" t="s">
        <v>473</v>
      </c>
    </row>
    <row r="160" spans="1:6" x14ac:dyDescent="0.25">
      <c r="A160">
        <v>1579</v>
      </c>
      <c r="B160" t="s">
        <v>472</v>
      </c>
      <c r="C160" t="s">
        <v>444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474</v>
      </c>
      <c r="C161" t="s">
        <v>444</v>
      </c>
      <c r="D161" t="s">
        <v>314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475</v>
      </c>
      <c r="C162" t="s">
        <v>476</v>
      </c>
      <c r="D162" t="s">
        <v>319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477</v>
      </c>
      <c r="C163" t="s">
        <v>476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478</v>
      </c>
      <c r="C164" t="s">
        <v>476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479</v>
      </c>
      <c r="C165" t="s">
        <v>476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480</v>
      </c>
      <c r="C166" t="s">
        <v>476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481</v>
      </c>
      <c r="C167" t="s">
        <v>476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482</v>
      </c>
      <c r="C168" t="s">
        <v>476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483</v>
      </c>
      <c r="C169" t="s">
        <v>476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484</v>
      </c>
      <c r="C170" t="s">
        <v>476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485</v>
      </c>
      <c r="C171" t="s">
        <v>476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486</v>
      </c>
      <c r="C172" t="s">
        <v>476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487</v>
      </c>
      <c r="C173" t="s">
        <v>476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488</v>
      </c>
      <c r="C174" t="s">
        <v>476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489</v>
      </c>
      <c r="C175" t="s">
        <v>476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490</v>
      </c>
      <c r="C176" t="s">
        <v>476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491</v>
      </c>
      <c r="C177" t="s">
        <v>476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492</v>
      </c>
      <c r="C178" t="s">
        <v>476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493</v>
      </c>
      <c r="C179" t="s">
        <v>476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494</v>
      </c>
      <c r="C180" t="s">
        <v>476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495</v>
      </c>
      <c r="C181" t="s">
        <v>476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496</v>
      </c>
      <c r="C182" t="s">
        <v>476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497</v>
      </c>
      <c r="C183" t="s">
        <v>476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498</v>
      </c>
      <c r="C184" t="s">
        <v>476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499</v>
      </c>
      <c r="C185" t="s">
        <v>476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500</v>
      </c>
      <c r="C186" t="s">
        <v>476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501</v>
      </c>
      <c r="C187" t="s">
        <v>476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502</v>
      </c>
      <c r="C188" t="s">
        <v>476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503</v>
      </c>
      <c r="C189" t="s">
        <v>476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504</v>
      </c>
      <c r="C190" t="s">
        <v>476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505</v>
      </c>
      <c r="C191" t="s">
        <v>476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506</v>
      </c>
      <c r="C192" t="s">
        <v>476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507</v>
      </c>
      <c r="C193" t="s">
        <v>476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508</v>
      </c>
      <c r="C194" t="s">
        <v>476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509</v>
      </c>
      <c r="C195" t="s">
        <v>476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510</v>
      </c>
      <c r="C196" t="s">
        <v>476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511</v>
      </c>
      <c r="C197" t="s">
        <v>476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512</v>
      </c>
      <c r="C198" t="s">
        <v>476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513</v>
      </c>
      <c r="C199" t="s">
        <v>476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514</v>
      </c>
      <c r="C200" t="s">
        <v>476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515</v>
      </c>
      <c r="C201" t="s">
        <v>476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516</v>
      </c>
      <c r="C202" t="s">
        <v>476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517</v>
      </c>
      <c r="C203" t="s">
        <v>517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518</v>
      </c>
      <c r="C204" t="s">
        <v>519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520</v>
      </c>
      <c r="C205" t="s">
        <v>519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521</v>
      </c>
      <c r="C206" t="s">
        <v>519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522</v>
      </c>
      <c r="C207" t="s">
        <v>519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523</v>
      </c>
      <c r="C208" t="s">
        <v>519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524</v>
      </c>
      <c r="C209" t="s">
        <v>519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525</v>
      </c>
      <c r="C210" t="s">
        <v>519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526</v>
      </c>
      <c r="C211" t="s">
        <v>519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527</v>
      </c>
      <c r="C212" t="s">
        <v>519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528</v>
      </c>
      <c r="C213" t="s">
        <v>519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529</v>
      </c>
      <c r="C214" t="s">
        <v>519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530</v>
      </c>
      <c r="C215" t="s">
        <v>519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531</v>
      </c>
      <c r="C216" t="s">
        <v>519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532</v>
      </c>
      <c r="C217" t="s">
        <v>519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533</v>
      </c>
      <c r="C218" t="s">
        <v>519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534</v>
      </c>
      <c r="C219" t="s">
        <v>519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535</v>
      </c>
      <c r="C220" t="s">
        <v>519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536</v>
      </c>
      <c r="C221" t="s">
        <v>519</v>
      </c>
      <c r="D221" t="s">
        <v>314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537</v>
      </c>
      <c r="C222" t="s">
        <v>519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538</v>
      </c>
      <c r="C223" t="s">
        <v>519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539</v>
      </c>
      <c r="C224" t="s">
        <v>519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540</v>
      </c>
      <c r="C225" t="s">
        <v>519</v>
      </c>
      <c r="D225" t="s">
        <v>314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541</v>
      </c>
      <c r="C226" t="s">
        <v>519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542</v>
      </c>
      <c r="C227" t="s">
        <v>543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544</v>
      </c>
      <c r="C228" t="s">
        <v>543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545</v>
      </c>
      <c r="C229" t="s">
        <v>543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546</v>
      </c>
      <c r="C230" t="s">
        <v>543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547</v>
      </c>
      <c r="C231" t="s">
        <v>543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548</v>
      </c>
      <c r="C232" t="s">
        <v>543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549</v>
      </c>
      <c r="C233" t="s">
        <v>543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550</v>
      </c>
      <c r="C234" t="s">
        <v>543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551</v>
      </c>
      <c r="C235" t="s">
        <v>543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552</v>
      </c>
      <c r="C236" t="s">
        <v>543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553</v>
      </c>
      <c r="C237" t="s">
        <v>543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554</v>
      </c>
      <c r="C238" t="s">
        <v>543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555</v>
      </c>
      <c r="C239" t="s">
        <v>543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556</v>
      </c>
      <c r="C240" t="s">
        <v>543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557</v>
      </c>
      <c r="C241" t="s">
        <v>543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558</v>
      </c>
      <c r="C242" t="s">
        <v>543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559</v>
      </c>
      <c r="C243" t="s">
        <v>543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560</v>
      </c>
      <c r="C244" t="s">
        <v>561</v>
      </c>
      <c r="D244" t="s">
        <v>319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562</v>
      </c>
      <c r="C245" t="s">
        <v>561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563</v>
      </c>
      <c r="C246" t="s">
        <v>561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564</v>
      </c>
      <c r="C247" t="s">
        <v>561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565</v>
      </c>
      <c r="C248" t="s">
        <v>561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566</v>
      </c>
      <c r="C249" t="s">
        <v>561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567</v>
      </c>
      <c r="C250" t="s">
        <v>561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568</v>
      </c>
      <c r="C251" t="s">
        <v>561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569</v>
      </c>
      <c r="C252" t="s">
        <v>561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570</v>
      </c>
      <c r="C253" t="s">
        <v>561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571</v>
      </c>
      <c r="C254" t="s">
        <v>561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572</v>
      </c>
      <c r="C255" t="s">
        <v>561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573</v>
      </c>
      <c r="C256" t="s">
        <v>561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574</v>
      </c>
      <c r="C257" t="s">
        <v>561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575</v>
      </c>
      <c r="C258" t="s">
        <v>561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576</v>
      </c>
      <c r="C259" t="s">
        <v>561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577</v>
      </c>
      <c r="C260" t="s">
        <v>561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578</v>
      </c>
      <c r="C261" t="s">
        <v>561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579</v>
      </c>
      <c r="C262" t="s">
        <v>561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580</v>
      </c>
      <c r="C263" t="s">
        <v>561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581</v>
      </c>
      <c r="C264" t="s">
        <v>561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582</v>
      </c>
      <c r="C265" t="s">
        <v>583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584</v>
      </c>
      <c r="C266" t="s">
        <v>583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584</v>
      </c>
      <c r="C267" t="s">
        <v>583</v>
      </c>
      <c r="D267">
        <v>2</v>
      </c>
      <c r="E267">
        <f>_xlfn.XLOOKUP(arbgiveravg[[#This Row],[Sone]],arbeidsgiveravgift[Sone],arbeidsgiveravgift[Sats])</f>
        <v>0.106</v>
      </c>
      <c r="F267" t="s">
        <v>585</v>
      </c>
    </row>
    <row r="268" spans="1:6" x14ac:dyDescent="0.25">
      <c r="A268">
        <v>5007</v>
      </c>
      <c r="B268" t="s">
        <v>586</v>
      </c>
      <c r="C268" t="s">
        <v>583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587</v>
      </c>
      <c r="C269" t="s">
        <v>583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588</v>
      </c>
      <c r="C270" t="s">
        <v>583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589</v>
      </c>
      <c r="C271" t="s">
        <v>583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590</v>
      </c>
      <c r="C272" t="s">
        <v>583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591</v>
      </c>
      <c r="C273" t="s">
        <v>583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592</v>
      </c>
      <c r="C274" t="s">
        <v>583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593</v>
      </c>
      <c r="C275" t="s">
        <v>583</v>
      </c>
      <c r="D275" t="s">
        <v>314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594</v>
      </c>
      <c r="C276" t="s">
        <v>583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595</v>
      </c>
      <c r="C277" t="s">
        <v>583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596</v>
      </c>
      <c r="C278" t="s">
        <v>583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597</v>
      </c>
      <c r="C279" t="s">
        <v>583</v>
      </c>
      <c r="D279" t="s">
        <v>314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598</v>
      </c>
      <c r="C280" t="s">
        <v>583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599</v>
      </c>
      <c r="C281" t="s">
        <v>583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600</v>
      </c>
      <c r="C282" t="s">
        <v>583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601</v>
      </c>
      <c r="C283" t="s">
        <v>583</v>
      </c>
      <c r="D283" t="s">
        <v>314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602</v>
      </c>
      <c r="C284" t="s">
        <v>583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603</v>
      </c>
      <c r="C285" t="s">
        <v>583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604</v>
      </c>
      <c r="C286" t="s">
        <v>583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605</v>
      </c>
      <c r="C287" t="s">
        <v>583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606</v>
      </c>
      <c r="C288" t="s">
        <v>583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607</v>
      </c>
      <c r="C289" t="s">
        <v>583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608</v>
      </c>
      <c r="C290" t="s">
        <v>583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609</v>
      </c>
      <c r="C291" t="s">
        <v>583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610</v>
      </c>
      <c r="C292" t="s">
        <v>583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611</v>
      </c>
      <c r="C293" t="s">
        <v>583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612</v>
      </c>
      <c r="C294" t="s">
        <v>583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613</v>
      </c>
      <c r="C295" t="s">
        <v>583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614</v>
      </c>
      <c r="C296" t="s">
        <v>583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615</v>
      </c>
      <c r="C297" t="s">
        <v>583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616</v>
      </c>
      <c r="C298" t="s">
        <v>583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617</v>
      </c>
      <c r="C299" t="s">
        <v>583</v>
      </c>
      <c r="D299">
        <v>3</v>
      </c>
      <c r="E299">
        <f>_xlfn.XLOOKUP(arbgiveravg[[#This Row],[Sone]],arbeidsgiveravgift[Sone],arbeidsgiveravgift[Sats])</f>
        <v>6.4000000000000001E-2</v>
      </c>
      <c r="F299" t="s">
        <v>618</v>
      </c>
    </row>
    <row r="300" spans="1:6" x14ac:dyDescent="0.25">
      <c r="A300">
        <v>5057</v>
      </c>
      <c r="B300" t="s">
        <v>617</v>
      </c>
      <c r="C300" t="s">
        <v>583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619</v>
      </c>
      <c r="C301" t="s">
        <v>583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620</v>
      </c>
      <c r="C302" t="s">
        <v>583</v>
      </c>
      <c r="D302">
        <v>2</v>
      </c>
      <c r="E302">
        <f>_xlfn.XLOOKUP(arbgiveravg[[#This Row],[Sone]],arbeidsgiveravgift[Sone],arbeidsgiveravgift[Sats])</f>
        <v>0.106</v>
      </c>
      <c r="F302" t="s">
        <v>621</v>
      </c>
    </row>
    <row r="303" spans="1:6" x14ac:dyDescent="0.25">
      <c r="A303">
        <v>5059</v>
      </c>
      <c r="B303" t="s">
        <v>620</v>
      </c>
      <c r="C303" t="s">
        <v>583</v>
      </c>
      <c r="D303">
        <v>3</v>
      </c>
      <c r="E303">
        <f>_xlfn.XLOOKUP(arbgiveravg[[#This Row],[Sone]],arbeidsgiveravgift[Sone],arbeidsgiveravgift[Sats])</f>
        <v>6.4000000000000001E-2</v>
      </c>
      <c r="F303" t="s">
        <v>622</v>
      </c>
    </row>
    <row r="304" spans="1:6" x14ac:dyDescent="0.25">
      <c r="A304">
        <v>5059</v>
      </c>
      <c r="B304" t="s">
        <v>620</v>
      </c>
      <c r="C304" t="s">
        <v>583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623</v>
      </c>
      <c r="C305" t="s">
        <v>583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624</v>
      </c>
      <c r="C306" t="s">
        <v>583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625</v>
      </c>
      <c r="C307" t="s">
        <v>626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627</v>
      </c>
      <c r="C308" t="s">
        <v>626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628</v>
      </c>
      <c r="C309" t="s">
        <v>626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629</v>
      </c>
      <c r="C310" t="s">
        <v>626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630</v>
      </c>
      <c r="C311" t="s">
        <v>626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631</v>
      </c>
      <c r="C312" t="s">
        <v>626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632</v>
      </c>
      <c r="C313" t="s">
        <v>633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634</v>
      </c>
      <c r="C314" t="s">
        <v>633</v>
      </c>
      <c r="D314" t="s">
        <v>314</v>
      </c>
      <c r="E314">
        <f>_xlfn.XLOOKUP(arbgiveravg[[#This Row],[Sone]],arbeidsgiveravgift[Sone],arbeidsgiveravgift[Sats])</f>
        <v>0.106</v>
      </c>
      <c r="F314" t="s">
        <v>635</v>
      </c>
    </row>
    <row r="315" spans="1:6" x14ac:dyDescent="0.25">
      <c r="A315">
        <v>4602</v>
      </c>
      <c r="B315" t="s">
        <v>634</v>
      </c>
      <c r="C315" t="s">
        <v>633</v>
      </c>
      <c r="D315">
        <v>2</v>
      </c>
      <c r="E315">
        <f>_xlfn.XLOOKUP(arbgiveravg[[#This Row],[Sone]],arbeidsgiveravgift[Sone],arbeidsgiveravgift[Sats])</f>
        <v>0.106</v>
      </c>
      <c r="F315" t="s">
        <v>636</v>
      </c>
    </row>
    <row r="316" spans="1:6" x14ac:dyDescent="0.25">
      <c r="A316">
        <v>4611</v>
      </c>
      <c r="B316" t="s">
        <v>637</v>
      </c>
      <c r="C316" t="s">
        <v>633</v>
      </c>
      <c r="D316" t="s">
        <v>314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638</v>
      </c>
      <c r="C317" t="s">
        <v>633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639</v>
      </c>
      <c r="C318" t="s">
        <v>633</v>
      </c>
      <c r="D318" t="s">
        <v>314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640</v>
      </c>
      <c r="C319" t="s">
        <v>633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641</v>
      </c>
      <c r="C320" t="s">
        <v>633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642</v>
      </c>
      <c r="C321" t="s">
        <v>633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643</v>
      </c>
      <c r="C322" t="s">
        <v>633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644</v>
      </c>
      <c r="C323" t="s">
        <v>633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645</v>
      </c>
      <c r="C324" t="s">
        <v>633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646</v>
      </c>
      <c r="C325" t="s">
        <v>633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647</v>
      </c>
      <c r="C326" t="s">
        <v>633</v>
      </c>
      <c r="D326">
        <v>2</v>
      </c>
      <c r="E326">
        <f>_xlfn.XLOOKUP(arbgiveravg[[#This Row],[Sone]],arbeidsgiveravgift[Sone],arbeidsgiveravgift[Sats])</f>
        <v>0.106</v>
      </c>
      <c r="F326" t="s">
        <v>648</v>
      </c>
    </row>
    <row r="327" spans="1:6" x14ac:dyDescent="0.25">
      <c r="A327">
        <v>4621</v>
      </c>
      <c r="B327" t="s">
        <v>647</v>
      </c>
      <c r="C327" t="s">
        <v>633</v>
      </c>
      <c r="D327">
        <v>1</v>
      </c>
      <c r="E327">
        <f>_xlfn.XLOOKUP(arbgiveravg[[#This Row],[Sone]],arbeidsgiveravgift[Sone],arbeidsgiveravgift[Sats])</f>
        <v>0.14099999999999999</v>
      </c>
      <c r="F327" t="s">
        <v>649</v>
      </c>
    </row>
    <row r="328" spans="1:6" x14ac:dyDescent="0.25">
      <c r="A328">
        <v>4622</v>
      </c>
      <c r="B328" t="s">
        <v>650</v>
      </c>
      <c r="C328" t="s">
        <v>633</v>
      </c>
      <c r="D328" t="s">
        <v>314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651</v>
      </c>
      <c r="C329" t="s">
        <v>633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652</v>
      </c>
      <c r="C330" t="s">
        <v>633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653</v>
      </c>
      <c r="C331" t="s">
        <v>633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654</v>
      </c>
      <c r="C332" t="s">
        <v>633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655</v>
      </c>
      <c r="C333" t="s">
        <v>633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656</v>
      </c>
      <c r="C334" t="s">
        <v>633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657</v>
      </c>
      <c r="C335" t="s">
        <v>633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658</v>
      </c>
      <c r="C336" t="s">
        <v>633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659</v>
      </c>
      <c r="C337" t="s">
        <v>633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660</v>
      </c>
      <c r="C338" t="s">
        <v>633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661</v>
      </c>
      <c r="C339" t="s">
        <v>633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662</v>
      </c>
      <c r="C340" t="s">
        <v>633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663</v>
      </c>
      <c r="C341" t="s">
        <v>633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664</v>
      </c>
      <c r="C342" t="s">
        <v>633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665</v>
      </c>
      <c r="C343" t="s">
        <v>633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666</v>
      </c>
      <c r="C344" t="s">
        <v>633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667</v>
      </c>
      <c r="C345" t="s">
        <v>633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668</v>
      </c>
      <c r="C346" t="s">
        <v>633</v>
      </c>
      <c r="D346">
        <v>2</v>
      </c>
      <c r="E346">
        <f>_xlfn.XLOOKUP(arbgiveravg[[#This Row],[Sone]],arbeidsgiveravgift[Sone],arbeidsgiveravgift[Sats])</f>
        <v>0.106</v>
      </c>
      <c r="F346" t="s">
        <v>669</v>
      </c>
    </row>
    <row r="347" spans="1:6" x14ac:dyDescent="0.25">
      <c r="A347">
        <v>4640</v>
      </c>
      <c r="B347" t="s">
        <v>668</v>
      </c>
      <c r="C347" t="s">
        <v>633</v>
      </c>
      <c r="D347" t="s">
        <v>314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670</v>
      </c>
      <c r="C348" t="s">
        <v>633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671</v>
      </c>
      <c r="C349" t="s">
        <v>633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672</v>
      </c>
      <c r="C350" t="s">
        <v>633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673</v>
      </c>
      <c r="C351" t="s">
        <v>633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674</v>
      </c>
      <c r="C352" t="s">
        <v>633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675</v>
      </c>
      <c r="C353" t="s">
        <v>633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676</v>
      </c>
      <c r="C354" t="s">
        <v>633</v>
      </c>
      <c r="D354" t="s">
        <v>314</v>
      </c>
      <c r="E354">
        <f>_xlfn.XLOOKUP(arbgiveravg[[#This Row],[Sone]],arbeidsgiveravgift[Sone],arbeidsgiveravgift[Sats])</f>
        <v>0.106</v>
      </c>
      <c r="F354" t="s">
        <v>677</v>
      </c>
    </row>
    <row r="355" spans="1:6" x14ac:dyDescent="0.25">
      <c r="A355">
        <v>4647</v>
      </c>
      <c r="B355" t="s">
        <v>676</v>
      </c>
      <c r="C355" t="s">
        <v>633</v>
      </c>
      <c r="D355">
        <v>2</v>
      </c>
      <c r="E355">
        <f>_xlfn.XLOOKUP(arbgiveravg[[#This Row],[Sone]],arbeidsgiveravgift[Sone],arbeidsgiveravgift[Sats])</f>
        <v>0.106</v>
      </c>
      <c r="F355" t="s">
        <v>678</v>
      </c>
    </row>
    <row r="356" spans="1:6" x14ac:dyDescent="0.25">
      <c r="A356">
        <v>4648</v>
      </c>
      <c r="B356" t="s">
        <v>679</v>
      </c>
      <c r="C356" t="s">
        <v>633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680</v>
      </c>
      <c r="C357" t="s">
        <v>633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681</v>
      </c>
      <c r="C358" t="s">
        <v>633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682</v>
      </c>
      <c r="C359" t="s">
        <v>633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683</v>
      </c>
      <c r="C360" t="s">
        <v>684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685</v>
      </c>
      <c r="C361" t="s">
        <v>684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686</v>
      </c>
      <c r="C362" t="s">
        <v>684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687</v>
      </c>
      <c r="C363" t="s">
        <v>684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688</v>
      </c>
      <c r="C364" t="s">
        <v>684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689</v>
      </c>
      <c r="C365" t="s">
        <v>684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690</v>
      </c>
      <c r="C366" t="s">
        <v>684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691</v>
      </c>
      <c r="C367" t="s">
        <v>684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692</v>
      </c>
      <c r="C368" t="s">
        <v>684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693</v>
      </c>
      <c r="C369" t="s">
        <v>684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694</v>
      </c>
      <c r="C370" t="s">
        <v>684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695</v>
      </c>
      <c r="C371" t="s">
        <v>684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"/>
  <sheetViews>
    <sheetView workbookViewId="0">
      <selection activeCell="B21" sqref="B21"/>
    </sheetView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2" t="s">
        <v>696</v>
      </c>
      <c r="B1" s="32" t="s">
        <v>697</v>
      </c>
    </row>
  </sheetData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34"/>
  <sheetViews>
    <sheetView showGridLines="0" zoomScale="90" zoomScaleNormal="90" workbookViewId="0">
      <pane xSplit="8" ySplit="2" topLeftCell="I3" activePane="bottomRight" state="frozen"/>
      <selection pane="topRight" activeCell="J68" sqref="J68"/>
      <selection pane="bottomLeft" activeCell="J68" sqref="J68"/>
      <selection pane="bottomRight" activeCell="M38" sqref="M38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341" t="s">
        <v>796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R1">
        <f>MAXA(BasilRadata[År])</f>
        <v>2025</v>
      </c>
      <c r="S1" t="s">
        <v>748</v>
      </c>
    </row>
    <row r="2" spans="1:19" ht="36" customHeight="1" x14ac:dyDescent="0.25">
      <c r="A2" s="48" t="s">
        <v>27</v>
      </c>
      <c r="B2" s="48" t="s">
        <v>28</v>
      </c>
      <c r="C2" s="48" t="s">
        <v>29</v>
      </c>
      <c r="D2" s="48" t="s">
        <v>30</v>
      </c>
      <c r="E2" s="48" t="s">
        <v>31</v>
      </c>
      <c r="F2" s="48" t="s">
        <v>32</v>
      </c>
      <c r="G2" s="48" t="s">
        <v>33</v>
      </c>
      <c r="H2" s="48" t="s">
        <v>34</v>
      </c>
      <c r="I2" s="48" t="s">
        <v>35</v>
      </c>
      <c r="J2" s="48" t="s">
        <v>36</v>
      </c>
      <c r="K2" s="48" t="s">
        <v>37</v>
      </c>
      <c r="L2" s="48" t="s">
        <v>38</v>
      </c>
      <c r="M2" s="49" t="s">
        <v>39</v>
      </c>
      <c r="N2" s="50" t="s">
        <v>737</v>
      </c>
      <c r="O2" s="50" t="s">
        <v>732</v>
      </c>
    </row>
    <row r="3" spans="1:19" x14ac:dyDescent="0.25">
      <c r="A3" s="47">
        <v>2024</v>
      </c>
      <c r="B3" s="47" t="s">
        <v>967</v>
      </c>
      <c r="C3" s="47" t="s">
        <v>443</v>
      </c>
      <c r="D3" s="47" t="s">
        <v>789</v>
      </c>
      <c r="E3" s="47" t="s">
        <v>790</v>
      </c>
      <c r="F3" s="47" t="s">
        <v>968</v>
      </c>
      <c r="G3" s="47" t="s">
        <v>444</v>
      </c>
      <c r="H3" s="47" t="s">
        <v>969</v>
      </c>
      <c r="I3" s="47" t="s">
        <v>970</v>
      </c>
      <c r="J3" s="47" t="s">
        <v>971</v>
      </c>
      <c r="K3" s="47" t="s">
        <v>42</v>
      </c>
      <c r="L3" s="47" t="s">
        <v>972</v>
      </c>
      <c r="M3" s="47">
        <v>0</v>
      </c>
      <c r="N3" s="11">
        <v>13</v>
      </c>
      <c r="O3" s="11">
        <v>16</v>
      </c>
      <c r="Q3" s="75"/>
    </row>
    <row r="4" spans="1:19" x14ac:dyDescent="0.25">
      <c r="A4" s="47">
        <v>2024</v>
      </c>
      <c r="B4" s="47" t="s">
        <v>967</v>
      </c>
      <c r="C4" s="47" t="s">
        <v>443</v>
      </c>
      <c r="D4" s="47" t="s">
        <v>789</v>
      </c>
      <c r="E4" s="47" t="s">
        <v>790</v>
      </c>
      <c r="F4" s="47" t="s">
        <v>968</v>
      </c>
      <c r="G4" s="47" t="s">
        <v>444</v>
      </c>
      <c r="H4" s="47" t="s">
        <v>973</v>
      </c>
      <c r="I4" s="47" t="s">
        <v>974</v>
      </c>
      <c r="J4" s="47" t="s">
        <v>975</v>
      </c>
      <c r="K4" s="47" t="s">
        <v>42</v>
      </c>
      <c r="L4" s="47" t="s">
        <v>972</v>
      </c>
      <c r="M4" s="47">
        <v>0</v>
      </c>
      <c r="N4" s="11">
        <v>12</v>
      </c>
      <c r="O4" s="11">
        <v>15</v>
      </c>
    </row>
    <row r="5" spans="1:19" x14ac:dyDescent="0.25">
      <c r="A5" s="47">
        <v>2024</v>
      </c>
      <c r="B5" s="47" t="s">
        <v>967</v>
      </c>
      <c r="C5" s="47" t="s">
        <v>443</v>
      </c>
      <c r="D5" s="47" t="s">
        <v>789</v>
      </c>
      <c r="E5" s="47" t="s">
        <v>790</v>
      </c>
      <c r="F5" s="47" t="s">
        <v>968</v>
      </c>
      <c r="G5" s="47" t="s">
        <v>444</v>
      </c>
      <c r="H5" s="47" t="s">
        <v>976</v>
      </c>
      <c r="I5" s="47" t="s">
        <v>977</v>
      </c>
      <c r="J5" s="47" t="s">
        <v>978</v>
      </c>
      <c r="K5" s="47" t="s">
        <v>42</v>
      </c>
      <c r="L5" s="47" t="s">
        <v>972</v>
      </c>
      <c r="M5" s="47">
        <v>0</v>
      </c>
      <c r="N5" s="11">
        <v>49</v>
      </c>
      <c r="O5" s="11">
        <v>56</v>
      </c>
    </row>
    <row r="6" spans="1:19" x14ac:dyDescent="0.25">
      <c r="A6" s="47">
        <v>2024</v>
      </c>
      <c r="B6" s="47" t="s">
        <v>967</v>
      </c>
      <c r="C6" s="47" t="s">
        <v>443</v>
      </c>
      <c r="D6" s="47" t="s">
        <v>789</v>
      </c>
      <c r="E6" s="47" t="s">
        <v>790</v>
      </c>
      <c r="F6" s="47" t="s">
        <v>968</v>
      </c>
      <c r="G6" s="47" t="s">
        <v>444</v>
      </c>
      <c r="H6" s="47" t="s">
        <v>979</v>
      </c>
      <c r="I6" s="47" t="s">
        <v>980</v>
      </c>
      <c r="J6" s="47" t="s">
        <v>981</v>
      </c>
      <c r="K6" s="47" t="s">
        <v>42</v>
      </c>
      <c r="L6" s="47" t="s">
        <v>972</v>
      </c>
      <c r="M6" s="47">
        <v>0</v>
      </c>
      <c r="N6" s="11">
        <v>30.822199999999999</v>
      </c>
      <c r="O6" s="11">
        <v>45</v>
      </c>
    </row>
    <row r="7" spans="1:19" x14ac:dyDescent="0.25">
      <c r="A7" s="47">
        <v>2024</v>
      </c>
      <c r="B7" s="47" t="s">
        <v>967</v>
      </c>
      <c r="C7" s="47" t="s">
        <v>443</v>
      </c>
      <c r="D7" s="47" t="s">
        <v>789</v>
      </c>
      <c r="E7" s="47" t="s">
        <v>790</v>
      </c>
      <c r="F7" s="47" t="s">
        <v>968</v>
      </c>
      <c r="G7" s="47" t="s">
        <v>444</v>
      </c>
      <c r="H7" s="47" t="s">
        <v>982</v>
      </c>
      <c r="I7" s="47" t="s">
        <v>983</v>
      </c>
      <c r="J7" s="47" t="s">
        <v>984</v>
      </c>
      <c r="K7" s="47" t="s">
        <v>42</v>
      </c>
      <c r="L7" s="47" t="s">
        <v>972</v>
      </c>
      <c r="M7" s="47">
        <v>0</v>
      </c>
      <c r="N7" s="11">
        <v>30</v>
      </c>
      <c r="O7" s="11">
        <v>38</v>
      </c>
    </row>
    <row r="8" spans="1:19" x14ac:dyDescent="0.25">
      <c r="A8" s="47">
        <v>2024</v>
      </c>
      <c r="B8" s="47" t="s">
        <v>967</v>
      </c>
      <c r="C8" s="47" t="s">
        <v>443</v>
      </c>
      <c r="D8" s="47" t="s">
        <v>789</v>
      </c>
      <c r="E8" s="47" t="s">
        <v>790</v>
      </c>
      <c r="F8" s="47" t="s">
        <v>968</v>
      </c>
      <c r="G8" s="47" t="s">
        <v>444</v>
      </c>
      <c r="H8" s="47" t="s">
        <v>985</v>
      </c>
      <c r="I8" s="47" t="s">
        <v>986</v>
      </c>
      <c r="J8" s="47" t="s">
        <v>984</v>
      </c>
      <c r="K8" s="47" t="s">
        <v>42</v>
      </c>
      <c r="L8" s="47" t="s">
        <v>972</v>
      </c>
      <c r="M8" s="47">
        <v>0</v>
      </c>
      <c r="N8" s="11">
        <v>36</v>
      </c>
      <c r="O8" s="11">
        <v>52.822200000000002</v>
      </c>
    </row>
    <row r="9" spans="1:19" x14ac:dyDescent="0.25">
      <c r="A9" s="47">
        <v>2024</v>
      </c>
      <c r="B9" s="47" t="s">
        <v>967</v>
      </c>
      <c r="C9" s="47" t="s">
        <v>443</v>
      </c>
      <c r="D9" s="47" t="s">
        <v>789</v>
      </c>
      <c r="E9" s="47" t="s">
        <v>790</v>
      </c>
      <c r="F9" s="47" t="s">
        <v>968</v>
      </c>
      <c r="G9" s="47" t="s">
        <v>444</v>
      </c>
      <c r="H9" s="47" t="s">
        <v>808</v>
      </c>
      <c r="I9" s="47" t="s">
        <v>987</v>
      </c>
      <c r="J9" s="47" t="s">
        <v>988</v>
      </c>
      <c r="K9" s="47" t="s">
        <v>42</v>
      </c>
      <c r="L9" s="47" t="s">
        <v>791</v>
      </c>
      <c r="M9" s="47">
        <v>0</v>
      </c>
      <c r="N9" s="11">
        <v>35.933399999999999</v>
      </c>
      <c r="O9" s="11">
        <v>50</v>
      </c>
      <c r="Q9" s="222"/>
      <c r="R9" s="222"/>
    </row>
    <row r="10" spans="1:19" x14ac:dyDescent="0.25">
      <c r="A10" s="47">
        <v>2024</v>
      </c>
      <c r="B10" s="47" t="s">
        <v>967</v>
      </c>
      <c r="C10" s="47" t="s">
        <v>443</v>
      </c>
      <c r="D10" s="47" t="s">
        <v>789</v>
      </c>
      <c r="E10" s="47" t="s">
        <v>790</v>
      </c>
      <c r="F10" s="47" t="s">
        <v>968</v>
      </c>
      <c r="G10" s="47" t="s">
        <v>444</v>
      </c>
      <c r="H10" s="47" t="s">
        <v>812</v>
      </c>
      <c r="I10" s="47" t="s">
        <v>989</v>
      </c>
      <c r="J10" s="47" t="s">
        <v>990</v>
      </c>
      <c r="K10" s="47" t="s">
        <v>42</v>
      </c>
      <c r="L10" s="47" t="s">
        <v>791</v>
      </c>
      <c r="M10" s="47">
        <v>0</v>
      </c>
      <c r="N10" s="11">
        <v>38.466700000000003</v>
      </c>
      <c r="O10" s="11">
        <v>59.1111</v>
      </c>
      <c r="Q10" s="222"/>
      <c r="R10" s="222"/>
    </row>
    <row r="11" spans="1:19" x14ac:dyDescent="0.25">
      <c r="A11" s="47">
        <v>2024</v>
      </c>
      <c r="B11" s="47" t="s">
        <v>967</v>
      </c>
      <c r="C11" s="47" t="s">
        <v>443</v>
      </c>
      <c r="D11" s="47" t="s">
        <v>789</v>
      </c>
      <c r="E11" s="47" t="s">
        <v>790</v>
      </c>
      <c r="F11" s="47" t="s">
        <v>968</v>
      </c>
      <c r="G11" s="47" t="s">
        <v>444</v>
      </c>
      <c r="H11" s="47" t="s">
        <v>810</v>
      </c>
      <c r="I11" s="47" t="s">
        <v>991</v>
      </c>
      <c r="J11" s="47" t="s">
        <v>988</v>
      </c>
      <c r="K11" s="47" t="s">
        <v>42</v>
      </c>
      <c r="L11" s="47" t="s">
        <v>791</v>
      </c>
      <c r="M11" s="47">
        <v>0</v>
      </c>
      <c r="N11" s="11">
        <v>33</v>
      </c>
      <c r="O11" s="11">
        <v>48</v>
      </c>
      <c r="Q11" s="222"/>
      <c r="R11" s="222"/>
    </row>
    <row r="12" spans="1:19" x14ac:dyDescent="0.25">
      <c r="A12" s="47">
        <v>2024</v>
      </c>
      <c r="B12" s="47" t="s">
        <v>967</v>
      </c>
      <c r="C12" s="47" t="s">
        <v>443</v>
      </c>
      <c r="D12" s="47" t="s">
        <v>789</v>
      </c>
      <c r="E12" s="47" t="s">
        <v>790</v>
      </c>
      <c r="F12" s="47" t="s">
        <v>968</v>
      </c>
      <c r="G12" s="47" t="s">
        <v>444</v>
      </c>
      <c r="H12" s="47" t="s">
        <v>992</v>
      </c>
      <c r="I12" s="47" t="s">
        <v>993</v>
      </c>
      <c r="J12" s="47" t="s">
        <v>975</v>
      </c>
      <c r="K12" s="47" t="s">
        <v>42</v>
      </c>
      <c r="L12" s="47" t="s">
        <v>972</v>
      </c>
      <c r="M12" s="47">
        <v>0</v>
      </c>
      <c r="N12" s="11">
        <v>16</v>
      </c>
      <c r="O12" s="11">
        <v>37</v>
      </c>
      <c r="Q12" s="222"/>
      <c r="R12" s="222"/>
    </row>
    <row r="13" spans="1:19" x14ac:dyDescent="0.25">
      <c r="A13" s="47">
        <v>2024</v>
      </c>
      <c r="B13" s="47" t="s">
        <v>967</v>
      </c>
      <c r="C13" s="47" t="s">
        <v>443</v>
      </c>
      <c r="D13" s="47" t="s">
        <v>789</v>
      </c>
      <c r="E13" s="47" t="s">
        <v>790</v>
      </c>
      <c r="F13" s="47" t="s">
        <v>968</v>
      </c>
      <c r="G13" s="47" t="s">
        <v>444</v>
      </c>
      <c r="H13" s="47" t="s">
        <v>994</v>
      </c>
      <c r="I13" s="47" t="s">
        <v>995</v>
      </c>
      <c r="J13" s="47" t="s">
        <v>996</v>
      </c>
      <c r="K13" s="47" t="s">
        <v>42</v>
      </c>
      <c r="L13" s="47" t="s">
        <v>972</v>
      </c>
      <c r="M13" s="47">
        <v>0</v>
      </c>
      <c r="N13" s="11">
        <v>26.822199999999999</v>
      </c>
      <c r="O13" s="11">
        <v>51</v>
      </c>
      <c r="Q13" s="222"/>
      <c r="R13" s="222"/>
    </row>
    <row r="14" spans="1:19" x14ac:dyDescent="0.25">
      <c r="A14" s="47">
        <v>2024</v>
      </c>
      <c r="B14" s="47" t="s">
        <v>967</v>
      </c>
      <c r="C14" s="47" t="s">
        <v>443</v>
      </c>
      <c r="D14" s="47" t="s">
        <v>789</v>
      </c>
      <c r="E14" s="47" t="s">
        <v>790</v>
      </c>
      <c r="F14" s="47" t="s">
        <v>968</v>
      </c>
      <c r="G14" s="47" t="s">
        <v>444</v>
      </c>
      <c r="H14" s="47" t="s">
        <v>806</v>
      </c>
      <c r="I14" s="47" t="s">
        <v>997</v>
      </c>
      <c r="J14" s="47" t="s">
        <v>998</v>
      </c>
      <c r="K14" s="47" t="s">
        <v>42</v>
      </c>
      <c r="L14" s="47" t="s">
        <v>791</v>
      </c>
      <c r="M14" s="47">
        <v>0</v>
      </c>
      <c r="N14" s="11">
        <v>24</v>
      </c>
      <c r="O14" s="11">
        <v>36</v>
      </c>
      <c r="Q14" s="222"/>
      <c r="R14" s="222"/>
    </row>
    <row r="15" spans="1:19" x14ac:dyDescent="0.25">
      <c r="A15" s="47">
        <v>2024</v>
      </c>
      <c r="B15" s="47" t="s">
        <v>967</v>
      </c>
      <c r="C15" s="47" t="s">
        <v>443</v>
      </c>
      <c r="D15" s="47" t="s">
        <v>789</v>
      </c>
      <c r="E15" s="47" t="s">
        <v>790</v>
      </c>
      <c r="F15" s="47" t="s">
        <v>968</v>
      </c>
      <c r="G15" s="47" t="s">
        <v>444</v>
      </c>
      <c r="H15" s="47" t="s">
        <v>804</v>
      </c>
      <c r="I15" s="47" t="s">
        <v>999</v>
      </c>
      <c r="J15" s="47" t="s">
        <v>1000</v>
      </c>
      <c r="K15" s="47" t="s">
        <v>42</v>
      </c>
      <c r="L15" s="47" t="s">
        <v>791</v>
      </c>
      <c r="M15" s="47">
        <v>0</v>
      </c>
      <c r="N15" s="11">
        <v>50</v>
      </c>
      <c r="O15" s="11">
        <v>80.822199999999995</v>
      </c>
      <c r="Q15" s="222"/>
      <c r="R15" s="222"/>
    </row>
    <row r="16" spans="1:19" x14ac:dyDescent="0.25">
      <c r="A16" s="47">
        <v>2024</v>
      </c>
      <c r="B16" s="47" t="s">
        <v>967</v>
      </c>
      <c r="C16" s="47" t="s">
        <v>443</v>
      </c>
      <c r="D16" s="47" t="s">
        <v>789</v>
      </c>
      <c r="E16" s="47" t="s">
        <v>790</v>
      </c>
      <c r="F16" s="47" t="s">
        <v>968</v>
      </c>
      <c r="G16" s="47" t="s">
        <v>444</v>
      </c>
      <c r="H16" s="47" t="s">
        <v>1001</v>
      </c>
      <c r="I16" s="47" t="s">
        <v>1002</v>
      </c>
      <c r="J16" s="47" t="s">
        <v>975</v>
      </c>
      <c r="K16" s="47" t="s">
        <v>42</v>
      </c>
      <c r="L16" s="47" t="s">
        <v>972</v>
      </c>
      <c r="M16" s="47">
        <v>0</v>
      </c>
      <c r="N16" s="11">
        <v>24</v>
      </c>
      <c r="O16" s="11">
        <v>37</v>
      </c>
      <c r="Q16" s="222"/>
      <c r="R16" s="222"/>
    </row>
    <row r="17" spans="1:18" x14ac:dyDescent="0.25">
      <c r="A17" s="47">
        <v>0</v>
      </c>
      <c r="B17" s="47">
        <v>0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11">
        <v>0</v>
      </c>
      <c r="O17" s="11">
        <v>0</v>
      </c>
      <c r="Q17" s="222"/>
      <c r="R17" s="222"/>
    </row>
    <row r="18" spans="1:18" x14ac:dyDescent="0.25">
      <c r="A18" s="47">
        <v>2025</v>
      </c>
      <c r="B18" s="47" t="s">
        <v>967</v>
      </c>
      <c r="C18" s="47" t="s">
        <v>443</v>
      </c>
      <c r="D18" s="47" t="s">
        <v>789</v>
      </c>
      <c r="E18" s="47" t="s">
        <v>790</v>
      </c>
      <c r="F18" s="47" t="s">
        <v>968</v>
      </c>
      <c r="G18" s="47" t="s">
        <v>444</v>
      </c>
      <c r="H18" s="47" t="s">
        <v>976</v>
      </c>
      <c r="I18" s="47" t="s">
        <v>977</v>
      </c>
      <c r="J18" s="47" t="s">
        <v>978</v>
      </c>
      <c r="K18" s="47" t="s">
        <v>42</v>
      </c>
      <c r="L18" s="47" t="s">
        <v>972</v>
      </c>
      <c r="M18" s="47">
        <v>32</v>
      </c>
      <c r="N18" s="11">
        <v>47.466700000000003</v>
      </c>
      <c r="O18" s="11">
        <v>58</v>
      </c>
      <c r="Q18" s="222"/>
      <c r="R18" s="222"/>
    </row>
    <row r="19" spans="1:18" x14ac:dyDescent="0.25">
      <c r="A19" s="47">
        <v>2025</v>
      </c>
      <c r="B19" s="47" t="s">
        <v>967</v>
      </c>
      <c r="C19" s="47" t="s">
        <v>443</v>
      </c>
      <c r="D19" s="47" t="s">
        <v>789</v>
      </c>
      <c r="E19" s="47" t="s">
        <v>790</v>
      </c>
      <c r="F19" s="47" t="s">
        <v>968</v>
      </c>
      <c r="G19" s="47" t="s">
        <v>444</v>
      </c>
      <c r="H19" s="47" t="s">
        <v>973</v>
      </c>
      <c r="I19" s="47" t="s">
        <v>974</v>
      </c>
      <c r="J19" s="47" t="s">
        <v>975</v>
      </c>
      <c r="K19" s="47" t="s">
        <v>42</v>
      </c>
      <c r="L19" s="47" t="s">
        <v>972</v>
      </c>
      <c r="M19" s="47">
        <v>7.7</v>
      </c>
      <c r="N19" s="11">
        <v>13</v>
      </c>
      <c r="O19" s="11">
        <v>15</v>
      </c>
      <c r="Q19" s="222"/>
      <c r="R19" s="222"/>
    </row>
    <row r="20" spans="1:18" x14ac:dyDescent="0.25">
      <c r="A20" s="47">
        <v>2025</v>
      </c>
      <c r="B20" s="47" t="s">
        <v>967</v>
      </c>
      <c r="C20" s="47" t="s">
        <v>443</v>
      </c>
      <c r="D20" s="47" t="s">
        <v>789</v>
      </c>
      <c r="E20" s="47" t="s">
        <v>790</v>
      </c>
      <c r="F20" s="47" t="s">
        <v>968</v>
      </c>
      <c r="G20" s="47" t="s">
        <v>444</v>
      </c>
      <c r="H20" s="47" t="s">
        <v>969</v>
      </c>
      <c r="I20" s="47" t="s">
        <v>970</v>
      </c>
      <c r="J20" s="47" t="s">
        <v>971</v>
      </c>
      <c r="K20" s="47" t="s">
        <v>42</v>
      </c>
      <c r="L20" s="47" t="s">
        <v>972</v>
      </c>
      <c r="M20" s="47">
        <v>10.55</v>
      </c>
      <c r="N20" s="11">
        <v>13</v>
      </c>
      <c r="O20" s="11">
        <v>15.644400000000001</v>
      </c>
      <c r="Q20" s="222"/>
      <c r="R20" s="222"/>
    </row>
    <row r="21" spans="1:18" x14ac:dyDescent="0.25">
      <c r="A21" s="47">
        <v>2025</v>
      </c>
      <c r="B21" s="47" t="s">
        <v>967</v>
      </c>
      <c r="C21" s="47" t="s">
        <v>443</v>
      </c>
      <c r="D21" s="47" t="s">
        <v>789</v>
      </c>
      <c r="E21" s="47" t="s">
        <v>790</v>
      </c>
      <c r="F21" s="47" t="s">
        <v>968</v>
      </c>
      <c r="G21" s="47" t="s">
        <v>444</v>
      </c>
      <c r="H21" s="47" t="s">
        <v>985</v>
      </c>
      <c r="I21" s="47" t="s">
        <v>986</v>
      </c>
      <c r="J21" s="47" t="s">
        <v>984</v>
      </c>
      <c r="K21" s="47" t="s">
        <v>42</v>
      </c>
      <c r="L21" s="47" t="s">
        <v>972</v>
      </c>
      <c r="M21" s="47">
        <v>28</v>
      </c>
      <c r="N21" s="11">
        <v>35</v>
      </c>
      <c r="O21" s="11">
        <v>54</v>
      </c>
      <c r="Q21" s="222"/>
      <c r="R21" s="222"/>
    </row>
    <row r="22" spans="1:18" x14ac:dyDescent="0.25">
      <c r="A22" s="47">
        <v>2025</v>
      </c>
      <c r="B22" s="47" t="s">
        <v>967</v>
      </c>
      <c r="C22" s="47" t="s">
        <v>443</v>
      </c>
      <c r="D22" s="47" t="s">
        <v>789</v>
      </c>
      <c r="E22" s="47" t="s">
        <v>790</v>
      </c>
      <c r="F22" s="47" t="s">
        <v>968</v>
      </c>
      <c r="G22" s="47" t="s">
        <v>444</v>
      </c>
      <c r="H22" s="47" t="s">
        <v>979</v>
      </c>
      <c r="I22" s="47" t="s">
        <v>980</v>
      </c>
      <c r="J22" s="47" t="s">
        <v>981</v>
      </c>
      <c r="K22" s="47" t="s">
        <v>42</v>
      </c>
      <c r="L22" s="47" t="s">
        <v>972</v>
      </c>
      <c r="M22" s="47">
        <v>28</v>
      </c>
      <c r="N22" s="11">
        <v>31.822199999999999</v>
      </c>
      <c r="O22" s="11">
        <v>41.822200000000002</v>
      </c>
      <c r="Q22" s="222"/>
      <c r="R22" s="222"/>
    </row>
    <row r="23" spans="1:18" x14ac:dyDescent="0.25">
      <c r="A23" s="47">
        <v>2025</v>
      </c>
      <c r="B23" s="47" t="s">
        <v>967</v>
      </c>
      <c r="C23" s="47" t="s">
        <v>443</v>
      </c>
      <c r="D23" s="47" t="s">
        <v>789</v>
      </c>
      <c r="E23" s="47" t="s">
        <v>790</v>
      </c>
      <c r="F23" s="47" t="s">
        <v>968</v>
      </c>
      <c r="G23" s="47" t="s">
        <v>444</v>
      </c>
      <c r="H23" s="47" t="s">
        <v>982</v>
      </c>
      <c r="I23" s="47" t="s">
        <v>983</v>
      </c>
      <c r="J23" s="47" t="s">
        <v>984</v>
      </c>
      <c r="K23" s="47" t="s">
        <v>42</v>
      </c>
      <c r="L23" s="47" t="s">
        <v>972</v>
      </c>
      <c r="M23" s="47">
        <v>22</v>
      </c>
      <c r="N23" s="11">
        <v>29</v>
      </c>
      <c r="O23" s="11">
        <v>38.822200000000002</v>
      </c>
      <c r="Q23" s="222"/>
      <c r="R23" s="222"/>
    </row>
    <row r="24" spans="1:18" ht="21.6" customHeight="1" x14ac:dyDescent="0.25">
      <c r="A24" s="47">
        <v>2025</v>
      </c>
      <c r="B24" s="47" t="s">
        <v>967</v>
      </c>
      <c r="C24" s="47" t="s">
        <v>443</v>
      </c>
      <c r="D24" s="47" t="s">
        <v>789</v>
      </c>
      <c r="E24" s="47" t="s">
        <v>790</v>
      </c>
      <c r="F24" s="47" t="s">
        <v>968</v>
      </c>
      <c r="G24" s="47" t="s">
        <v>444</v>
      </c>
      <c r="H24" s="47" t="s">
        <v>812</v>
      </c>
      <c r="I24" s="47" t="s">
        <v>989</v>
      </c>
      <c r="J24" s="47" t="s">
        <v>990</v>
      </c>
      <c r="K24" s="47" t="s">
        <v>42</v>
      </c>
      <c r="L24" s="47" t="s">
        <v>791</v>
      </c>
      <c r="M24" s="47">
        <v>0</v>
      </c>
      <c r="N24" s="11">
        <v>39.466700000000003</v>
      </c>
      <c r="O24" s="11">
        <v>56.288899999999998</v>
      </c>
      <c r="Q24" s="222"/>
      <c r="R24" s="222"/>
    </row>
    <row r="25" spans="1:18" x14ac:dyDescent="0.25">
      <c r="A25" s="47">
        <v>2025</v>
      </c>
      <c r="B25" s="47" t="s">
        <v>967</v>
      </c>
      <c r="C25" s="47" t="s">
        <v>443</v>
      </c>
      <c r="D25" s="47" t="s">
        <v>789</v>
      </c>
      <c r="E25" s="47" t="s">
        <v>790</v>
      </c>
      <c r="F25" s="47" t="s">
        <v>968</v>
      </c>
      <c r="G25" s="47" t="s">
        <v>444</v>
      </c>
      <c r="H25" s="47" t="s">
        <v>810</v>
      </c>
      <c r="I25" s="47" t="s">
        <v>991</v>
      </c>
      <c r="J25" s="47" t="s">
        <v>988</v>
      </c>
      <c r="K25" s="47" t="s">
        <v>42</v>
      </c>
      <c r="L25" s="47" t="s">
        <v>791</v>
      </c>
      <c r="M25" s="47">
        <v>0</v>
      </c>
      <c r="N25" s="11">
        <v>34.822200000000002</v>
      </c>
      <c r="O25" s="11">
        <v>48</v>
      </c>
      <c r="Q25" s="222"/>
      <c r="R25" s="222"/>
    </row>
    <row r="26" spans="1:18" x14ac:dyDescent="0.25">
      <c r="A26" s="47">
        <v>2025</v>
      </c>
      <c r="B26" s="47" t="s">
        <v>967</v>
      </c>
      <c r="C26" s="47" t="s">
        <v>443</v>
      </c>
      <c r="D26" s="47" t="s">
        <v>789</v>
      </c>
      <c r="E26" s="47" t="s">
        <v>790</v>
      </c>
      <c r="F26" s="47" t="s">
        <v>968</v>
      </c>
      <c r="G26" s="47" t="s">
        <v>444</v>
      </c>
      <c r="H26" s="47" t="s">
        <v>806</v>
      </c>
      <c r="I26" s="47" t="s">
        <v>997</v>
      </c>
      <c r="J26" s="47" t="s">
        <v>998</v>
      </c>
      <c r="K26" s="47" t="s">
        <v>42</v>
      </c>
      <c r="L26" s="47" t="s">
        <v>791</v>
      </c>
      <c r="M26" s="47">
        <v>0</v>
      </c>
      <c r="N26" s="11">
        <v>18.822199999999999</v>
      </c>
      <c r="O26" s="11">
        <v>40</v>
      </c>
      <c r="Q26" s="222"/>
      <c r="R26" s="222"/>
    </row>
    <row r="27" spans="1:18" x14ac:dyDescent="0.25">
      <c r="A27" s="213">
        <v>2025</v>
      </c>
      <c r="B27" s="214" t="s">
        <v>967</v>
      </c>
      <c r="C27" s="213" t="s">
        <v>443</v>
      </c>
      <c r="D27" s="213" t="s">
        <v>789</v>
      </c>
      <c r="E27" s="213" t="s">
        <v>790</v>
      </c>
      <c r="F27" s="213" t="s">
        <v>968</v>
      </c>
      <c r="G27" s="213" t="s">
        <v>444</v>
      </c>
      <c r="H27" s="214" t="s">
        <v>994</v>
      </c>
      <c r="I27" s="214" t="s">
        <v>995</v>
      </c>
      <c r="J27" s="214" t="s">
        <v>996</v>
      </c>
      <c r="K27" s="213" t="s">
        <v>42</v>
      </c>
      <c r="L27" s="214" t="s">
        <v>972</v>
      </c>
      <c r="M27" s="47">
        <v>23</v>
      </c>
      <c r="N27" s="11">
        <v>30.822199999999999</v>
      </c>
      <c r="O27" s="11">
        <v>45</v>
      </c>
      <c r="Q27" s="222"/>
      <c r="R27" s="222"/>
    </row>
    <row r="28" spans="1:18" x14ac:dyDescent="0.25">
      <c r="A28" s="213">
        <v>2025</v>
      </c>
      <c r="B28" s="214" t="s">
        <v>967</v>
      </c>
      <c r="C28" s="213" t="s">
        <v>443</v>
      </c>
      <c r="D28" s="213" t="s">
        <v>789</v>
      </c>
      <c r="E28" s="213" t="s">
        <v>790</v>
      </c>
      <c r="F28" s="213" t="s">
        <v>968</v>
      </c>
      <c r="G28" s="213" t="s">
        <v>444</v>
      </c>
      <c r="H28" s="214" t="s">
        <v>808</v>
      </c>
      <c r="I28" s="214" t="s">
        <v>987</v>
      </c>
      <c r="J28" s="214" t="s">
        <v>988</v>
      </c>
      <c r="K28" s="213" t="s">
        <v>42</v>
      </c>
      <c r="L28" s="214" t="s">
        <v>791</v>
      </c>
      <c r="M28" s="47">
        <v>0</v>
      </c>
      <c r="N28" s="11">
        <v>35.822200000000002</v>
      </c>
      <c r="O28" s="11">
        <v>50.822200000000002</v>
      </c>
      <c r="Q28" s="222"/>
      <c r="R28" s="222"/>
    </row>
    <row r="29" spans="1:18" x14ac:dyDescent="0.25">
      <c r="A29" s="213">
        <v>2025</v>
      </c>
      <c r="B29" s="214" t="s">
        <v>967</v>
      </c>
      <c r="C29" s="213" t="s">
        <v>443</v>
      </c>
      <c r="D29" s="213" t="s">
        <v>789</v>
      </c>
      <c r="E29" s="213" t="s">
        <v>790</v>
      </c>
      <c r="F29" s="213" t="s">
        <v>968</v>
      </c>
      <c r="G29" s="213" t="s">
        <v>444</v>
      </c>
      <c r="H29" s="214" t="s">
        <v>992</v>
      </c>
      <c r="I29" s="214" t="s">
        <v>993</v>
      </c>
      <c r="J29" s="214" t="s">
        <v>975</v>
      </c>
      <c r="K29" s="213" t="s">
        <v>42</v>
      </c>
      <c r="L29" s="214" t="s">
        <v>972</v>
      </c>
      <c r="M29" s="47">
        <v>13</v>
      </c>
      <c r="N29" s="11">
        <v>18</v>
      </c>
      <c r="O29" s="11">
        <v>34</v>
      </c>
      <c r="Q29" s="222"/>
      <c r="R29" s="222"/>
    </row>
    <row r="30" spans="1:18" x14ac:dyDescent="0.25">
      <c r="A30" s="213">
        <v>2025</v>
      </c>
      <c r="B30" s="214" t="s">
        <v>967</v>
      </c>
      <c r="C30" s="213" t="s">
        <v>443</v>
      </c>
      <c r="D30" s="213" t="s">
        <v>789</v>
      </c>
      <c r="E30" s="213" t="s">
        <v>790</v>
      </c>
      <c r="F30" s="213" t="s">
        <v>968</v>
      </c>
      <c r="G30" s="213" t="s">
        <v>444</v>
      </c>
      <c r="H30" s="214" t="s">
        <v>804</v>
      </c>
      <c r="I30" s="214" t="s">
        <v>999</v>
      </c>
      <c r="J30" s="214" t="s">
        <v>1000</v>
      </c>
      <c r="K30" s="213" t="s">
        <v>42</v>
      </c>
      <c r="L30" s="214" t="s">
        <v>791</v>
      </c>
      <c r="M30" s="47">
        <v>0</v>
      </c>
      <c r="N30" s="11">
        <v>51</v>
      </c>
      <c r="O30" s="11">
        <v>70</v>
      </c>
      <c r="Q30" s="222"/>
      <c r="R30" s="222"/>
    </row>
    <row r="31" spans="1:18" x14ac:dyDescent="0.25">
      <c r="A31" s="213">
        <v>2025</v>
      </c>
      <c r="B31" s="214" t="s">
        <v>967</v>
      </c>
      <c r="C31" s="213" t="s">
        <v>443</v>
      </c>
      <c r="D31" s="213" t="s">
        <v>789</v>
      </c>
      <c r="E31" s="213" t="s">
        <v>790</v>
      </c>
      <c r="F31" s="213" t="s">
        <v>968</v>
      </c>
      <c r="G31" s="213" t="s">
        <v>444</v>
      </c>
      <c r="H31" s="214" t="s">
        <v>1001</v>
      </c>
      <c r="I31" s="214" t="s">
        <v>1002</v>
      </c>
      <c r="J31" s="214" t="s">
        <v>975</v>
      </c>
      <c r="K31" s="213" t="s">
        <v>42</v>
      </c>
      <c r="L31" s="214" t="s">
        <v>972</v>
      </c>
      <c r="M31" s="47">
        <v>17.100000000000001</v>
      </c>
      <c r="N31" s="11">
        <v>24</v>
      </c>
      <c r="O31" s="11">
        <v>36</v>
      </c>
      <c r="Q31" s="222"/>
    </row>
    <row r="32" spans="1:18" x14ac:dyDescent="0.25">
      <c r="A32" s="213"/>
      <c r="B32" s="214"/>
      <c r="C32" s="213"/>
      <c r="D32" s="213"/>
      <c r="E32" s="213"/>
      <c r="F32" s="213"/>
      <c r="G32" s="213"/>
      <c r="H32" s="214"/>
      <c r="I32" s="214"/>
      <c r="J32" s="214"/>
      <c r="K32" s="213"/>
      <c r="L32" s="214"/>
      <c r="M32" s="47"/>
      <c r="N32" s="11"/>
      <c r="O32" s="11"/>
    </row>
    <row r="33" spans="1:15" x14ac:dyDescent="0.25">
      <c r="A33" s="213"/>
      <c r="B33" s="214"/>
      <c r="C33" s="213"/>
      <c r="D33" s="213"/>
      <c r="E33" s="213"/>
      <c r="F33" s="213"/>
      <c r="G33" s="213"/>
      <c r="H33" s="214"/>
      <c r="I33" s="214"/>
      <c r="J33" s="214"/>
      <c r="K33" s="213"/>
      <c r="L33" s="214"/>
      <c r="M33" s="47"/>
      <c r="N33" s="11"/>
      <c r="O33" s="11"/>
    </row>
    <row r="34" spans="1:15" x14ac:dyDescent="0.25">
      <c r="A34" s="213"/>
      <c r="B34" s="214"/>
      <c r="C34" s="213"/>
      <c r="D34" s="213"/>
      <c r="E34" s="213"/>
      <c r="F34" s="213"/>
      <c r="G34" s="213"/>
      <c r="H34" s="214"/>
      <c r="I34" s="214"/>
      <c r="J34" s="214"/>
      <c r="K34" s="213"/>
      <c r="L34" s="214"/>
      <c r="M34" s="47"/>
      <c r="N34" s="11"/>
      <c r="O34" s="11"/>
    </row>
  </sheetData>
  <mergeCells count="1">
    <mergeCell ref="A1:O1"/>
  </mergeCells>
  <pageMargins left="0.75" right="0.75" top="1" bottom="1" header="0.5" footer="0.5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2"/>
  <sheetViews>
    <sheetView workbookViewId="0">
      <selection activeCell="C31" sqref="C31"/>
    </sheetView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57" t="s">
        <v>797</v>
      </c>
      <c r="B1" s="57"/>
      <c r="C1" s="57"/>
      <c r="D1" s="57"/>
      <c r="E1" s="57"/>
      <c r="F1" s="57"/>
      <c r="G1" s="57"/>
      <c r="H1" s="57"/>
      <c r="I1" s="57"/>
    </row>
    <row r="2" spans="1:9" x14ac:dyDescent="0.25">
      <c r="A2" s="56" t="s">
        <v>27</v>
      </c>
      <c r="B2" s="56" t="s">
        <v>44</v>
      </c>
      <c r="C2" s="56" t="s">
        <v>721</v>
      </c>
      <c r="D2" s="56" t="s">
        <v>722</v>
      </c>
      <c r="E2" s="56" t="s">
        <v>723</v>
      </c>
      <c r="F2" s="56" t="s">
        <v>30</v>
      </c>
      <c r="G2" s="56" t="s">
        <v>31</v>
      </c>
      <c r="H2" s="56" t="s">
        <v>724</v>
      </c>
      <c r="I2" s="84" t="s">
        <v>725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52C08-D4CB-473E-AF5C-F0C02BBF6FD8}">
  <sheetPr>
    <tabColor rgb="FFFF0000"/>
  </sheetPr>
  <dimension ref="A2:N49"/>
  <sheetViews>
    <sheetView workbookViewId="0">
      <selection activeCell="O25" sqref="O25"/>
    </sheetView>
  </sheetViews>
  <sheetFormatPr baseColWidth="10" defaultColWidth="11.42578125" defaultRowHeight="15" x14ac:dyDescent="0.25"/>
  <cols>
    <col min="1" max="1" width="7.42578125" customWidth="1"/>
    <col min="3" max="3" width="5.28515625" bestFit="1" customWidth="1"/>
    <col min="4" max="4" width="15.28515625" customWidth="1"/>
    <col min="11" max="11" width="13.140625" bestFit="1" customWidth="1"/>
    <col min="12" max="12" width="13.140625" customWidth="1"/>
    <col min="13" max="13" width="7.140625" customWidth="1"/>
  </cols>
  <sheetData>
    <row r="2" spans="1:13" ht="20.25" x14ac:dyDescent="0.3">
      <c r="A2" s="227"/>
      <c r="B2" s="225"/>
      <c r="C2" s="225"/>
      <c r="D2" s="225"/>
      <c r="E2" s="226" t="s">
        <v>1038</v>
      </c>
      <c r="F2" s="225"/>
      <c r="G2" s="225"/>
      <c r="H2" s="225"/>
      <c r="I2" s="225"/>
      <c r="J2" s="225"/>
      <c r="K2" s="225"/>
      <c r="L2" s="225"/>
      <c r="M2" s="225"/>
    </row>
    <row r="3" spans="1:13" x14ac:dyDescent="0.25">
      <c r="A3" s="227"/>
      <c r="B3" s="228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</row>
    <row r="4" spans="1:13" x14ac:dyDescent="0.25">
      <c r="A4" s="227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</row>
    <row r="5" spans="1:13" x14ac:dyDescent="0.25">
      <c r="A5" s="227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</row>
    <row r="6" spans="1:13" x14ac:dyDescent="0.25">
      <c r="A6" s="227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</row>
    <row r="7" spans="1:13" x14ac:dyDescent="0.25">
      <c r="A7" s="227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</row>
    <row r="8" spans="1:13" x14ac:dyDescent="0.25">
      <c r="A8" s="227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</row>
    <row r="9" spans="1:13" x14ac:dyDescent="0.25">
      <c r="A9" s="227"/>
      <c r="B9" s="229" t="s">
        <v>1039</v>
      </c>
      <c r="C9" s="230" t="s">
        <v>1040</v>
      </c>
      <c r="D9" s="231" t="s">
        <v>1041</v>
      </c>
      <c r="E9" s="232" t="s">
        <v>1042</v>
      </c>
      <c r="F9" s="233" t="s">
        <v>1043</v>
      </c>
      <c r="G9" s="233" t="s">
        <v>1044</v>
      </c>
      <c r="H9" s="233" t="s">
        <v>1045</v>
      </c>
      <c r="I9" s="233" t="s">
        <v>1046</v>
      </c>
      <c r="J9" s="233" t="s">
        <v>1047</v>
      </c>
      <c r="K9" s="233" t="s">
        <v>1048</v>
      </c>
      <c r="L9" s="227"/>
      <c r="M9" s="225"/>
    </row>
    <row r="10" spans="1:13" x14ac:dyDescent="0.25">
      <c r="A10" s="227"/>
      <c r="B10" s="234" t="s">
        <v>1049</v>
      </c>
      <c r="C10" s="235">
        <v>0</v>
      </c>
      <c r="D10" s="236">
        <v>2025</v>
      </c>
      <c r="E10" s="237" t="s">
        <v>1096</v>
      </c>
      <c r="F10" s="237">
        <v>0</v>
      </c>
      <c r="G10" s="237">
        <v>0</v>
      </c>
      <c r="H10" s="237">
        <v>0</v>
      </c>
      <c r="I10" s="237">
        <v>0</v>
      </c>
      <c r="J10" s="237">
        <v>0</v>
      </c>
      <c r="K10" s="237">
        <v>0</v>
      </c>
      <c r="L10" s="227"/>
      <c r="M10" s="225"/>
    </row>
    <row r="11" spans="1:13" x14ac:dyDescent="0.25">
      <c r="A11" s="227"/>
      <c r="B11" s="238"/>
      <c r="C11" s="235">
        <v>1</v>
      </c>
      <c r="D11" s="236">
        <f>$D$10-C11</f>
        <v>2024</v>
      </c>
      <c r="E11" s="237">
        <v>0</v>
      </c>
      <c r="F11" s="237">
        <v>0</v>
      </c>
      <c r="G11" s="237">
        <v>0</v>
      </c>
      <c r="H11" s="237">
        <v>0</v>
      </c>
      <c r="I11" s="237">
        <v>0</v>
      </c>
      <c r="J11" s="237">
        <v>0</v>
      </c>
      <c r="K11" s="237">
        <v>1</v>
      </c>
      <c r="L11" s="227"/>
      <c r="M11" s="225"/>
    </row>
    <row r="12" spans="1:13" x14ac:dyDescent="0.25">
      <c r="A12" s="227"/>
      <c r="B12" s="238"/>
      <c r="C12" s="235">
        <v>2</v>
      </c>
      <c r="D12" s="236">
        <f t="shared" ref="D12:D30" si="0">$D$10-C12</f>
        <v>2023</v>
      </c>
      <c r="E12" s="237">
        <v>2</v>
      </c>
      <c r="F12" s="237">
        <v>2</v>
      </c>
      <c r="G12" s="237">
        <v>2</v>
      </c>
      <c r="H12" s="237">
        <v>2</v>
      </c>
      <c r="I12" s="237">
        <v>2</v>
      </c>
      <c r="J12" s="237">
        <v>2</v>
      </c>
      <c r="K12" s="237">
        <v>0</v>
      </c>
      <c r="L12" s="227"/>
      <c r="M12" s="225"/>
    </row>
    <row r="13" spans="1:13" x14ac:dyDescent="0.25">
      <c r="A13" s="227"/>
      <c r="B13" s="238"/>
      <c r="C13" s="235">
        <v>3</v>
      </c>
      <c r="D13" s="236">
        <f t="shared" si="0"/>
        <v>2022</v>
      </c>
      <c r="E13" s="237">
        <v>1</v>
      </c>
      <c r="F13" s="237">
        <v>1</v>
      </c>
      <c r="G13" s="237">
        <v>1</v>
      </c>
      <c r="H13" s="237">
        <v>1</v>
      </c>
      <c r="I13" s="237">
        <v>1</v>
      </c>
      <c r="J13" s="237">
        <v>1</v>
      </c>
      <c r="K13" s="237">
        <v>0</v>
      </c>
      <c r="L13" s="227"/>
      <c r="M13" s="225"/>
    </row>
    <row r="14" spans="1:13" x14ac:dyDescent="0.25">
      <c r="A14" s="227"/>
      <c r="B14" s="238"/>
      <c r="C14" s="235">
        <v>4</v>
      </c>
      <c r="D14" s="236">
        <f t="shared" si="0"/>
        <v>2021</v>
      </c>
      <c r="E14" s="237">
        <v>1</v>
      </c>
      <c r="F14" s="237">
        <v>1</v>
      </c>
      <c r="G14" s="237">
        <v>1</v>
      </c>
      <c r="H14" s="237">
        <v>1</v>
      </c>
      <c r="I14" s="237">
        <v>1</v>
      </c>
      <c r="J14" s="237">
        <v>1</v>
      </c>
      <c r="K14" s="237">
        <v>0</v>
      </c>
      <c r="L14" s="227"/>
      <c r="M14" s="225"/>
    </row>
    <row r="15" spans="1:13" x14ac:dyDescent="0.25">
      <c r="A15" s="227"/>
      <c r="B15" s="238"/>
      <c r="C15" s="235">
        <v>5</v>
      </c>
      <c r="D15" s="236">
        <f t="shared" si="0"/>
        <v>2020</v>
      </c>
      <c r="E15" s="237">
        <v>1</v>
      </c>
      <c r="F15" s="237">
        <v>1</v>
      </c>
      <c r="G15" s="237">
        <v>1</v>
      </c>
      <c r="H15" s="237">
        <v>1</v>
      </c>
      <c r="I15" s="237">
        <v>1</v>
      </c>
      <c r="J15" s="237">
        <v>1</v>
      </c>
      <c r="K15" s="237">
        <v>1</v>
      </c>
      <c r="L15" s="227"/>
      <c r="M15" s="225"/>
    </row>
    <row r="16" spans="1:13" ht="15.75" thickBot="1" x14ac:dyDescent="0.3">
      <c r="A16" s="227"/>
      <c r="B16" s="239"/>
      <c r="C16" s="240">
        <v>6</v>
      </c>
      <c r="D16" s="241">
        <f t="shared" si="0"/>
        <v>2019</v>
      </c>
      <c r="E16" s="242">
        <v>0</v>
      </c>
      <c r="F16" s="242">
        <v>0</v>
      </c>
      <c r="G16" s="242">
        <v>0</v>
      </c>
      <c r="H16" s="242">
        <v>0</v>
      </c>
      <c r="I16" s="242">
        <v>0</v>
      </c>
      <c r="J16" s="242">
        <v>0</v>
      </c>
      <c r="K16" s="242">
        <v>0</v>
      </c>
      <c r="L16" s="227"/>
      <c r="M16" s="225"/>
    </row>
    <row r="17" spans="1:13" x14ac:dyDescent="0.25">
      <c r="A17" s="227"/>
      <c r="B17" s="238" t="s">
        <v>1050</v>
      </c>
      <c r="C17" s="243">
        <v>0</v>
      </c>
      <c r="D17" s="244">
        <f t="shared" si="0"/>
        <v>2025</v>
      </c>
      <c r="E17" s="237">
        <v>0</v>
      </c>
      <c r="F17" s="237">
        <v>0</v>
      </c>
      <c r="G17" s="237">
        <v>0</v>
      </c>
      <c r="H17" s="237">
        <v>0</v>
      </c>
      <c r="I17" s="237">
        <v>0</v>
      </c>
      <c r="J17" s="237">
        <v>0</v>
      </c>
      <c r="K17" s="237">
        <v>0</v>
      </c>
      <c r="L17" s="227"/>
      <c r="M17" s="225"/>
    </row>
    <row r="18" spans="1:13" x14ac:dyDescent="0.25">
      <c r="A18" s="227"/>
      <c r="B18" s="238"/>
      <c r="C18" s="235">
        <v>1</v>
      </c>
      <c r="D18" s="236">
        <f t="shared" si="0"/>
        <v>2024</v>
      </c>
      <c r="E18" s="237">
        <v>0</v>
      </c>
      <c r="F18" s="237">
        <v>0</v>
      </c>
      <c r="G18" s="237">
        <v>0</v>
      </c>
      <c r="H18" s="237">
        <v>0</v>
      </c>
      <c r="I18" s="237">
        <v>0</v>
      </c>
      <c r="J18" s="237">
        <v>0</v>
      </c>
      <c r="K18" s="237">
        <v>0</v>
      </c>
      <c r="L18" s="227"/>
      <c r="M18" s="225"/>
    </row>
    <row r="19" spans="1:13" x14ac:dyDescent="0.25">
      <c r="A19" s="227"/>
      <c r="B19" s="238"/>
      <c r="C19" s="235">
        <v>2</v>
      </c>
      <c r="D19" s="236">
        <f t="shared" si="0"/>
        <v>2023</v>
      </c>
      <c r="E19" s="237">
        <v>0</v>
      </c>
      <c r="F19" s="237">
        <v>0</v>
      </c>
      <c r="G19" s="237">
        <v>0</v>
      </c>
      <c r="H19" s="237">
        <v>0</v>
      </c>
      <c r="I19" s="237">
        <v>0</v>
      </c>
      <c r="J19" s="237">
        <v>0</v>
      </c>
      <c r="K19" s="237">
        <v>2</v>
      </c>
      <c r="L19" s="227"/>
      <c r="M19" s="225"/>
    </row>
    <row r="20" spans="1:13" x14ac:dyDescent="0.25">
      <c r="A20" s="227"/>
      <c r="B20" s="238"/>
      <c r="C20" s="235">
        <v>3</v>
      </c>
      <c r="D20" s="236">
        <f t="shared" si="0"/>
        <v>2022</v>
      </c>
      <c r="E20" s="237">
        <v>1</v>
      </c>
      <c r="F20" s="237">
        <v>1</v>
      </c>
      <c r="G20" s="237">
        <v>1</v>
      </c>
      <c r="H20" s="237">
        <v>1</v>
      </c>
      <c r="I20" s="237">
        <v>1</v>
      </c>
      <c r="J20" s="237">
        <v>0</v>
      </c>
      <c r="K20" s="237">
        <v>2</v>
      </c>
      <c r="L20" s="227"/>
      <c r="M20" s="225"/>
    </row>
    <row r="21" spans="1:13" x14ac:dyDescent="0.25">
      <c r="A21" s="227"/>
      <c r="B21" s="238"/>
      <c r="C21" s="235">
        <v>4</v>
      </c>
      <c r="D21" s="236">
        <f t="shared" si="0"/>
        <v>2021</v>
      </c>
      <c r="E21" s="237">
        <v>1</v>
      </c>
      <c r="F21" s="237">
        <v>1</v>
      </c>
      <c r="G21" s="237">
        <v>1</v>
      </c>
      <c r="H21" s="237">
        <v>1</v>
      </c>
      <c r="I21" s="237">
        <v>1</v>
      </c>
      <c r="J21" s="237">
        <v>1</v>
      </c>
      <c r="K21" s="237">
        <v>1</v>
      </c>
      <c r="L21" s="227"/>
      <c r="M21" s="225"/>
    </row>
    <row r="22" spans="1:13" x14ac:dyDescent="0.25">
      <c r="A22" s="227"/>
      <c r="B22" s="238"/>
      <c r="C22" s="235">
        <v>5</v>
      </c>
      <c r="D22" s="236">
        <f t="shared" si="0"/>
        <v>2020</v>
      </c>
      <c r="E22" s="237">
        <v>1</v>
      </c>
      <c r="F22" s="237">
        <v>1</v>
      </c>
      <c r="G22" s="237">
        <v>1</v>
      </c>
      <c r="H22" s="237">
        <v>1</v>
      </c>
      <c r="I22" s="237">
        <v>1</v>
      </c>
      <c r="J22" s="237">
        <v>1</v>
      </c>
      <c r="K22" s="237">
        <v>0</v>
      </c>
      <c r="L22" s="227"/>
      <c r="M22" s="225"/>
    </row>
    <row r="23" spans="1:13" ht="15.75" thickBot="1" x14ac:dyDescent="0.3">
      <c r="A23" s="227"/>
      <c r="B23" s="239"/>
      <c r="C23" s="240">
        <v>6</v>
      </c>
      <c r="D23" s="241">
        <f t="shared" si="0"/>
        <v>2019</v>
      </c>
      <c r="E23" s="242">
        <v>0</v>
      </c>
      <c r="F23" s="242">
        <v>0</v>
      </c>
      <c r="G23" s="242">
        <v>0</v>
      </c>
      <c r="H23" s="242">
        <v>0</v>
      </c>
      <c r="I23" s="242">
        <v>0</v>
      </c>
      <c r="J23" s="242">
        <v>0</v>
      </c>
      <c r="K23" s="242">
        <v>0</v>
      </c>
      <c r="L23" s="227"/>
      <c r="M23" s="225"/>
    </row>
    <row r="24" spans="1:13" x14ac:dyDescent="0.25">
      <c r="A24" s="227"/>
      <c r="B24" s="238" t="s">
        <v>1051</v>
      </c>
      <c r="C24" s="243">
        <v>0</v>
      </c>
      <c r="D24" s="244">
        <f t="shared" si="0"/>
        <v>2025</v>
      </c>
      <c r="E24" s="237">
        <v>0</v>
      </c>
      <c r="F24" s="237">
        <v>0</v>
      </c>
      <c r="G24" s="237">
        <v>0</v>
      </c>
      <c r="H24" s="237">
        <v>0</v>
      </c>
      <c r="I24" s="237">
        <v>0</v>
      </c>
      <c r="J24" s="237">
        <v>0</v>
      </c>
      <c r="K24" s="237">
        <v>12</v>
      </c>
      <c r="L24" s="227"/>
      <c r="M24" s="225"/>
    </row>
    <row r="25" spans="1:13" x14ac:dyDescent="0.25">
      <c r="A25" s="227"/>
      <c r="B25" s="238"/>
      <c r="C25" s="235">
        <v>1</v>
      </c>
      <c r="D25" s="236">
        <f t="shared" si="0"/>
        <v>2024</v>
      </c>
      <c r="E25" s="237">
        <v>21</v>
      </c>
      <c r="F25" s="237">
        <v>21</v>
      </c>
      <c r="G25" s="237">
        <v>21</v>
      </c>
      <c r="H25" s="237">
        <v>21</v>
      </c>
      <c r="I25" s="237">
        <v>21</v>
      </c>
      <c r="J25" s="237">
        <v>21</v>
      </c>
      <c r="K25" s="237">
        <v>78</v>
      </c>
      <c r="L25" s="227"/>
      <c r="M25" s="225"/>
    </row>
    <row r="26" spans="1:13" x14ac:dyDescent="0.25">
      <c r="A26" s="227"/>
      <c r="B26" s="238"/>
      <c r="C26" s="235">
        <v>2</v>
      </c>
      <c r="D26" s="236">
        <f t="shared" si="0"/>
        <v>2023</v>
      </c>
      <c r="E26" s="237">
        <v>75</v>
      </c>
      <c r="F26" s="237">
        <v>75</v>
      </c>
      <c r="G26" s="237">
        <v>75</v>
      </c>
      <c r="H26" s="237">
        <v>75</v>
      </c>
      <c r="I26" s="237">
        <v>75</v>
      </c>
      <c r="J26" s="237">
        <v>75</v>
      </c>
      <c r="K26" s="237">
        <v>87</v>
      </c>
      <c r="L26" s="227"/>
      <c r="M26" s="225"/>
    </row>
    <row r="27" spans="1:13" x14ac:dyDescent="0.25">
      <c r="A27" s="227"/>
      <c r="B27" s="238"/>
      <c r="C27" s="235">
        <v>3</v>
      </c>
      <c r="D27" s="236">
        <f t="shared" si="0"/>
        <v>2022</v>
      </c>
      <c r="E27" s="237">
        <v>84</v>
      </c>
      <c r="F27" s="237">
        <v>82</v>
      </c>
      <c r="G27" s="237">
        <v>80</v>
      </c>
      <c r="H27" s="237">
        <v>81</v>
      </c>
      <c r="I27" s="237">
        <v>81</v>
      </c>
      <c r="J27" s="237">
        <v>81</v>
      </c>
      <c r="K27" s="237">
        <v>87</v>
      </c>
      <c r="L27" s="227"/>
      <c r="M27" s="225"/>
    </row>
    <row r="28" spans="1:13" x14ac:dyDescent="0.25">
      <c r="A28" s="227"/>
      <c r="B28" s="238"/>
      <c r="C28" s="235">
        <v>4</v>
      </c>
      <c r="D28" s="236">
        <f t="shared" si="0"/>
        <v>2021</v>
      </c>
      <c r="E28" s="237">
        <v>85</v>
      </c>
      <c r="F28" s="237">
        <v>85</v>
      </c>
      <c r="G28" s="237">
        <v>85</v>
      </c>
      <c r="H28" s="237">
        <v>85</v>
      </c>
      <c r="I28" s="237">
        <v>85</v>
      </c>
      <c r="J28" s="237">
        <v>85</v>
      </c>
      <c r="K28" s="237">
        <v>84</v>
      </c>
      <c r="L28" s="227"/>
      <c r="M28" s="225"/>
    </row>
    <row r="29" spans="1:13" x14ac:dyDescent="0.25">
      <c r="A29" s="227"/>
      <c r="B29" s="238"/>
      <c r="C29" s="235">
        <v>5</v>
      </c>
      <c r="D29" s="236">
        <f t="shared" si="0"/>
        <v>2020</v>
      </c>
      <c r="E29" s="237">
        <v>90</v>
      </c>
      <c r="F29" s="237">
        <v>90</v>
      </c>
      <c r="G29" s="237">
        <v>90</v>
      </c>
      <c r="H29" s="237">
        <v>90</v>
      </c>
      <c r="I29" s="237">
        <v>90</v>
      </c>
      <c r="J29" s="237">
        <v>90</v>
      </c>
      <c r="K29" s="237">
        <v>92</v>
      </c>
      <c r="L29" s="227"/>
      <c r="M29" s="225"/>
    </row>
    <row r="30" spans="1:13" ht="15.75" thickBot="1" x14ac:dyDescent="0.3">
      <c r="A30" s="227"/>
      <c r="B30" s="239"/>
      <c r="C30" s="240">
        <v>6</v>
      </c>
      <c r="D30" s="241">
        <f t="shared" si="0"/>
        <v>2019</v>
      </c>
      <c r="E30" s="237">
        <v>95</v>
      </c>
      <c r="F30" s="237">
        <v>95</v>
      </c>
      <c r="G30" s="237">
        <v>95</v>
      </c>
      <c r="H30" s="237">
        <v>95</v>
      </c>
      <c r="I30" s="237">
        <v>95</v>
      </c>
      <c r="J30" s="237">
        <v>95</v>
      </c>
      <c r="K30" s="237">
        <v>0</v>
      </c>
      <c r="L30" s="227"/>
      <c r="M30" s="225"/>
    </row>
    <row r="31" spans="1:13" ht="15.75" thickBot="1" x14ac:dyDescent="0.3">
      <c r="A31" s="227"/>
      <c r="B31" s="245"/>
      <c r="C31" s="246"/>
      <c r="D31" s="246" t="s">
        <v>1052</v>
      </c>
      <c r="E31" s="247">
        <f>SUM(E10:E30)</f>
        <v>458</v>
      </c>
      <c r="F31" s="248">
        <f t="shared" ref="F31:J31" si="1">SUM(F10:F30)</f>
        <v>456</v>
      </c>
      <c r="G31" s="248">
        <f t="shared" si="1"/>
        <v>454</v>
      </c>
      <c r="H31" s="248">
        <f t="shared" si="1"/>
        <v>455</v>
      </c>
      <c r="I31" s="248">
        <f t="shared" si="1"/>
        <v>455</v>
      </c>
      <c r="J31" s="248">
        <f t="shared" si="1"/>
        <v>454</v>
      </c>
      <c r="K31" s="248">
        <f>SUM(K10:K30)</f>
        <v>447</v>
      </c>
      <c r="L31" s="227"/>
      <c r="M31" s="225"/>
    </row>
    <row r="32" spans="1:13" ht="15.75" thickTop="1" x14ac:dyDescent="0.25">
      <c r="A32" s="227"/>
      <c r="B32" s="249" t="s">
        <v>1053</v>
      </c>
      <c r="C32" s="225"/>
      <c r="D32" s="225"/>
      <c r="E32" s="225"/>
      <c r="F32" s="225"/>
      <c r="G32" s="225"/>
      <c r="H32" s="225"/>
      <c r="I32" s="225"/>
      <c r="J32" s="225"/>
      <c r="K32" s="225"/>
      <c r="L32" s="227"/>
      <c r="M32" s="225"/>
    </row>
    <row r="33" spans="1:14" x14ac:dyDescent="0.25">
      <c r="A33" s="227"/>
      <c r="B33" s="231"/>
      <c r="C33" s="250"/>
      <c r="D33" s="251" t="s">
        <v>1054</v>
      </c>
      <c r="E33" s="230" t="str">
        <f t="shared" ref="E33:J33" si="2">E9</f>
        <v>1. januar</v>
      </c>
      <c r="F33" s="229" t="str">
        <f t="shared" si="2"/>
        <v>1. februar</v>
      </c>
      <c r="G33" s="229" t="str">
        <f t="shared" si="2"/>
        <v>1. mars</v>
      </c>
      <c r="H33" s="229" t="str">
        <f t="shared" si="2"/>
        <v>1. april</v>
      </c>
      <c r="I33" s="229" t="str">
        <f t="shared" si="2"/>
        <v>1. mai</v>
      </c>
      <c r="J33" s="229" t="str">
        <f t="shared" si="2"/>
        <v>1. juni</v>
      </c>
      <c r="K33" s="229" t="str">
        <f>K9</f>
        <v>15. desember</v>
      </c>
      <c r="L33" s="229" t="s">
        <v>1055</v>
      </c>
      <c r="M33" s="227"/>
      <c r="N33" s="252"/>
    </row>
    <row r="34" spans="1:14" x14ac:dyDescent="0.25">
      <c r="A34" s="227"/>
      <c r="B34" s="253" t="s">
        <v>1056</v>
      </c>
      <c r="C34" s="254"/>
      <c r="D34" s="255">
        <f>21/45</f>
        <v>0.46666666666666667</v>
      </c>
      <c r="E34" s="256">
        <f>SUM(E10:E13)</f>
        <v>3</v>
      </c>
      <c r="F34" s="235">
        <f t="shared" ref="F34:J34" si="3">SUM(F10:F13)</f>
        <v>3</v>
      </c>
      <c r="G34" s="235">
        <f t="shared" si="3"/>
        <v>3</v>
      </c>
      <c r="H34" s="235">
        <f t="shared" si="3"/>
        <v>3</v>
      </c>
      <c r="I34" s="235">
        <f t="shared" si="3"/>
        <v>3</v>
      </c>
      <c r="J34" s="235">
        <f t="shared" si="3"/>
        <v>3</v>
      </c>
      <c r="K34" s="235">
        <f>SUM(K10:K12)</f>
        <v>1</v>
      </c>
      <c r="L34" s="257">
        <f>E34*(1/12)+F34*(1/12)+G34*(1/12)+H34*(1/12)+I34*(1/12)+J34*(2/12)+K34*(5/12)</f>
        <v>2.1666666666666665</v>
      </c>
      <c r="M34" s="258"/>
      <c r="N34" s="252"/>
    </row>
    <row r="35" spans="1:14" x14ac:dyDescent="0.25">
      <c r="A35" s="227"/>
      <c r="B35" s="253" t="s">
        <v>1050</v>
      </c>
      <c r="C35" s="254"/>
      <c r="D35" s="255">
        <f>37/45</f>
        <v>0.82222222222222219</v>
      </c>
      <c r="E35" s="256">
        <f t="shared" ref="E35:J35" si="4">SUM(E17:E20)</f>
        <v>1</v>
      </c>
      <c r="F35" s="235">
        <f t="shared" si="4"/>
        <v>1</v>
      </c>
      <c r="G35" s="235">
        <f t="shared" si="4"/>
        <v>1</v>
      </c>
      <c r="H35" s="235">
        <f t="shared" si="4"/>
        <v>1</v>
      </c>
      <c r="I35" s="235">
        <f t="shared" si="4"/>
        <v>1</v>
      </c>
      <c r="J35" s="235">
        <f t="shared" si="4"/>
        <v>0</v>
      </c>
      <c r="K35" s="235">
        <f>SUM(K17:K19)</f>
        <v>2</v>
      </c>
      <c r="L35" s="257">
        <f>E35*(1/12)+F35*(1/12)+G35*(1/12)+H35*(1/12)+I35*(1/12)+J35*(2/12)+K35*(5/12)</f>
        <v>1.25</v>
      </c>
      <c r="M35" s="258"/>
      <c r="N35" s="252"/>
    </row>
    <row r="36" spans="1:14" x14ac:dyDescent="0.25">
      <c r="A36" s="227"/>
      <c r="B36" s="253" t="s">
        <v>1051</v>
      </c>
      <c r="C36" s="254"/>
      <c r="D36" s="255">
        <f>45/45</f>
        <v>1</v>
      </c>
      <c r="E36" s="256">
        <f t="shared" ref="E36:J36" si="5">SUM(E24:E27)</f>
        <v>180</v>
      </c>
      <c r="F36" s="235">
        <f t="shared" si="5"/>
        <v>178</v>
      </c>
      <c r="G36" s="235">
        <f t="shared" si="5"/>
        <v>176</v>
      </c>
      <c r="H36" s="235">
        <f t="shared" si="5"/>
        <v>177</v>
      </c>
      <c r="I36" s="235">
        <f t="shared" si="5"/>
        <v>177</v>
      </c>
      <c r="J36" s="235">
        <f t="shared" si="5"/>
        <v>177</v>
      </c>
      <c r="K36" s="235">
        <f>SUM(K24:K26)</f>
        <v>177</v>
      </c>
      <c r="L36" s="257">
        <f>E36*(1/12)+F36*(1/12)+G36*(1/12)+H36*(1/12)+I36*(1/12)+J36*(2/12)+K36*(5/12)</f>
        <v>177.25</v>
      </c>
      <c r="M36" s="258"/>
      <c r="N36" s="252"/>
    </row>
    <row r="37" spans="1:14" x14ac:dyDescent="0.25">
      <c r="A37" s="227"/>
      <c r="B37" s="249" t="s">
        <v>1057</v>
      </c>
      <c r="C37" s="225"/>
      <c r="D37" s="259"/>
      <c r="E37" s="260"/>
      <c r="F37" s="260"/>
      <c r="G37" s="260"/>
      <c r="H37" s="260"/>
      <c r="I37" s="260"/>
      <c r="J37" s="260"/>
      <c r="K37" s="260"/>
      <c r="L37" s="258"/>
      <c r="M37" s="258"/>
      <c r="N37" s="252"/>
    </row>
    <row r="38" spans="1:14" x14ac:dyDescent="0.25">
      <c r="A38" s="227"/>
      <c r="B38" s="261" t="s">
        <v>1056</v>
      </c>
      <c r="C38" s="262"/>
      <c r="D38" s="263">
        <f>21/45</f>
        <v>0.46666666666666667</v>
      </c>
      <c r="E38" s="262">
        <f t="shared" ref="E38:J38" si="6">SUM(E14:E16)</f>
        <v>2</v>
      </c>
      <c r="F38" s="264">
        <f t="shared" si="6"/>
        <v>2</v>
      </c>
      <c r="G38" s="264">
        <f t="shared" si="6"/>
        <v>2</v>
      </c>
      <c r="H38" s="264">
        <f t="shared" si="6"/>
        <v>2</v>
      </c>
      <c r="I38" s="264">
        <f t="shared" si="6"/>
        <v>2</v>
      </c>
      <c r="J38" s="264">
        <f t="shared" si="6"/>
        <v>2</v>
      </c>
      <c r="K38" s="264">
        <f>SUM(K13:K16)</f>
        <v>1</v>
      </c>
      <c r="L38" s="257">
        <f t="shared" ref="L38:L40" si="7">E38*(1/12)+F38*(1/12)+G38*(1/12)+H38*(1/12)+I38*(1/12)+J38*(2/12)+K38*(5/12)</f>
        <v>1.5833333333333333</v>
      </c>
      <c r="M38" s="258"/>
      <c r="N38" s="252"/>
    </row>
    <row r="39" spans="1:14" x14ac:dyDescent="0.25">
      <c r="A39" s="227"/>
      <c r="B39" s="261" t="s">
        <v>1050</v>
      </c>
      <c r="C39" s="262"/>
      <c r="D39" s="263">
        <f>37/45</f>
        <v>0.82222222222222219</v>
      </c>
      <c r="E39" s="262">
        <f t="shared" ref="E39:J39" si="8">SUM(E21:E23)</f>
        <v>2</v>
      </c>
      <c r="F39" s="264">
        <f t="shared" si="8"/>
        <v>2</v>
      </c>
      <c r="G39" s="264">
        <f t="shared" si="8"/>
        <v>2</v>
      </c>
      <c r="H39" s="264">
        <f t="shared" si="8"/>
        <v>2</v>
      </c>
      <c r="I39" s="264">
        <f t="shared" si="8"/>
        <v>2</v>
      </c>
      <c r="J39" s="264">
        <f t="shared" si="8"/>
        <v>2</v>
      </c>
      <c r="K39" s="264">
        <f>SUM(K20:K23)</f>
        <v>3</v>
      </c>
      <c r="L39" s="257">
        <f t="shared" si="7"/>
        <v>2.4166666666666665</v>
      </c>
      <c r="M39" s="258"/>
      <c r="N39" s="252"/>
    </row>
    <row r="40" spans="1:14" x14ac:dyDescent="0.25">
      <c r="A40" s="227"/>
      <c r="B40" s="261" t="s">
        <v>1051</v>
      </c>
      <c r="C40" s="262"/>
      <c r="D40" s="263">
        <f>45/45</f>
        <v>1</v>
      </c>
      <c r="E40" s="262">
        <f t="shared" ref="E40:J40" si="9">SUM(E28:E30)</f>
        <v>270</v>
      </c>
      <c r="F40" s="264">
        <f t="shared" si="9"/>
        <v>270</v>
      </c>
      <c r="G40" s="264">
        <f t="shared" si="9"/>
        <v>270</v>
      </c>
      <c r="H40" s="264">
        <f t="shared" si="9"/>
        <v>270</v>
      </c>
      <c r="I40" s="264">
        <f t="shared" si="9"/>
        <v>270</v>
      </c>
      <c r="J40" s="264">
        <f t="shared" si="9"/>
        <v>270</v>
      </c>
      <c r="K40" s="264">
        <f>SUM(K27:K30)</f>
        <v>263</v>
      </c>
      <c r="L40" s="257">
        <f t="shared" si="7"/>
        <v>267.08333333333337</v>
      </c>
      <c r="M40" s="258"/>
      <c r="N40" s="252"/>
    </row>
    <row r="41" spans="1:14" x14ac:dyDescent="0.25">
      <c r="A41" s="227"/>
      <c r="B41" s="225"/>
      <c r="C41" s="225"/>
      <c r="D41" s="265"/>
      <c r="E41" s="225"/>
      <c r="F41" s="225"/>
      <c r="G41" s="225"/>
      <c r="H41" s="225"/>
      <c r="I41" s="225"/>
      <c r="J41" s="225"/>
      <c r="K41" s="225"/>
      <c r="L41" s="227"/>
      <c r="M41" s="258"/>
    </row>
    <row r="42" spans="1:14" x14ac:dyDescent="0.25">
      <c r="A42" s="227"/>
      <c r="B42" s="266" t="s">
        <v>1058</v>
      </c>
      <c r="C42" s="254"/>
      <c r="D42" s="267"/>
      <c r="E42" s="235">
        <f>SUM(E34:E36)</f>
        <v>184</v>
      </c>
      <c r="F42" s="235">
        <f t="shared" ref="F42:I42" si="10">SUM(F34:F36)</f>
        <v>182</v>
      </c>
      <c r="G42" s="235">
        <f t="shared" si="10"/>
        <v>180</v>
      </c>
      <c r="H42" s="235">
        <f t="shared" si="10"/>
        <v>181</v>
      </c>
      <c r="I42" s="235">
        <f t="shared" si="10"/>
        <v>181</v>
      </c>
      <c r="J42" s="235">
        <f>SUM(J34:J36)</f>
        <v>180</v>
      </c>
      <c r="K42" s="235">
        <f>SUM(K34:K36)</f>
        <v>180</v>
      </c>
      <c r="L42" s="257">
        <f>E42*(1/12)+F42*(1/12)+G42*(1/12)+H42*(1/12)+I42*(1/12)+J42*(2/12)+K42*(5/12)</f>
        <v>180.66666666666666</v>
      </c>
      <c r="M42" s="258"/>
    </row>
    <row r="43" spans="1:14" x14ac:dyDescent="0.25">
      <c r="A43" s="227"/>
      <c r="B43" s="266" t="s">
        <v>1059</v>
      </c>
      <c r="C43" s="254"/>
      <c r="D43" s="267"/>
      <c r="E43" s="235">
        <f t="shared" ref="E43:J43" si="11">SUM(E38:E40)</f>
        <v>274</v>
      </c>
      <c r="F43" s="235">
        <f t="shared" si="11"/>
        <v>274</v>
      </c>
      <c r="G43" s="235">
        <f t="shared" si="11"/>
        <v>274</v>
      </c>
      <c r="H43" s="235">
        <f t="shared" si="11"/>
        <v>274</v>
      </c>
      <c r="I43" s="235">
        <f t="shared" si="11"/>
        <v>274</v>
      </c>
      <c r="J43" s="235">
        <f t="shared" si="11"/>
        <v>274</v>
      </c>
      <c r="K43" s="235">
        <f>SUM(K38:K40)</f>
        <v>267</v>
      </c>
      <c r="L43" s="257">
        <f>E43*(1/12)+F43*(1/12)+G43*(1/12)+H43*(1/12)+I43*(1/12)+J43*(2/12)+K43*(5/12)</f>
        <v>271.08333333333331</v>
      </c>
      <c r="M43" s="258"/>
    </row>
    <row r="44" spans="1:14" ht="15.75" thickBot="1" x14ac:dyDescent="0.3">
      <c r="A44" s="227"/>
      <c r="B44" s="268" t="s">
        <v>1060</v>
      </c>
      <c r="C44" s="269"/>
      <c r="D44" s="270"/>
      <c r="E44" s="271">
        <f>SUM(E42:E43)</f>
        <v>458</v>
      </c>
      <c r="F44" s="271">
        <f t="shared" ref="F44:I44" si="12">SUM(F42:F43)</f>
        <v>456</v>
      </c>
      <c r="G44" s="271">
        <f t="shared" si="12"/>
        <v>454</v>
      </c>
      <c r="H44" s="271">
        <f t="shared" si="12"/>
        <v>455</v>
      </c>
      <c r="I44" s="271">
        <f t="shared" si="12"/>
        <v>455</v>
      </c>
      <c r="J44" s="271">
        <f>SUM(J42:J43)</f>
        <v>454</v>
      </c>
      <c r="K44" s="271">
        <f t="shared" ref="K44" si="13">SUM(K42:K43)</f>
        <v>447</v>
      </c>
      <c r="L44" s="272">
        <f>SUM(L42:L43)</f>
        <v>451.75</v>
      </c>
      <c r="M44" s="258"/>
    </row>
    <row r="45" spans="1:14" ht="15.75" thickTop="1" x14ac:dyDescent="0.25">
      <c r="A45" s="227"/>
      <c r="B45" s="225"/>
      <c r="C45" s="225"/>
      <c r="D45" s="225"/>
      <c r="E45" s="225"/>
      <c r="F45" s="225"/>
      <c r="G45" s="225"/>
      <c r="H45" s="225"/>
      <c r="I45" s="225"/>
      <c r="J45" s="225"/>
      <c r="K45" s="225"/>
      <c r="L45" s="258"/>
      <c r="M45" s="258"/>
    </row>
    <row r="46" spans="1:14" x14ac:dyDescent="0.25">
      <c r="A46" s="227"/>
      <c r="B46" s="264" t="s">
        <v>1061</v>
      </c>
      <c r="C46" s="261"/>
      <c r="D46" s="262"/>
      <c r="E46" s="273">
        <f>SUMPRODUCT(E34:E36,$D$34:$D$36)</f>
        <v>182.22222222222223</v>
      </c>
      <c r="F46" s="273">
        <f t="shared" ref="F46:J46" si="14">SUMPRODUCT(F34:F36,$D$34:$D$36)</f>
        <v>180.22222222222223</v>
      </c>
      <c r="G46" s="273">
        <f t="shared" si="14"/>
        <v>178.22222222222223</v>
      </c>
      <c r="H46" s="273">
        <f t="shared" si="14"/>
        <v>179.22222222222223</v>
      </c>
      <c r="I46" s="273">
        <f t="shared" si="14"/>
        <v>179.22222222222223</v>
      </c>
      <c r="J46" s="273">
        <f t="shared" si="14"/>
        <v>178.4</v>
      </c>
      <c r="K46" s="273">
        <f>SUMPRODUCT(K34:K36,$D$34:$D$36)</f>
        <v>179.11111111111111</v>
      </c>
      <c r="L46" s="257">
        <f>E46*(1/12)+F46*(1/12)+G46*(1/12)+H46*(1/12)+I46*(1/12)+J46*(2/12)+K46*(5/12)</f>
        <v>179.28888888888889</v>
      </c>
      <c r="M46" s="258"/>
    </row>
    <row r="47" spans="1:14" x14ac:dyDescent="0.25">
      <c r="A47" s="227"/>
      <c r="B47" s="264" t="s">
        <v>1062</v>
      </c>
      <c r="C47" s="261"/>
      <c r="D47" s="262"/>
      <c r="E47" s="273">
        <f t="shared" ref="E47:J47" si="15">SUMPRODUCT(E38:E40,$D$38:$D$40)</f>
        <v>272.57777777777778</v>
      </c>
      <c r="F47" s="273">
        <f t="shared" si="15"/>
        <v>272.57777777777778</v>
      </c>
      <c r="G47" s="273">
        <f t="shared" si="15"/>
        <v>272.57777777777778</v>
      </c>
      <c r="H47" s="273">
        <f t="shared" si="15"/>
        <v>272.57777777777778</v>
      </c>
      <c r="I47" s="273">
        <f t="shared" si="15"/>
        <v>272.57777777777778</v>
      </c>
      <c r="J47" s="273">
        <f t="shared" si="15"/>
        <v>272.57777777777778</v>
      </c>
      <c r="K47" s="273">
        <f>SUMPRODUCT(K38:K40,$D$38:$D$40)</f>
        <v>265.93333333333334</v>
      </c>
      <c r="L47" s="257">
        <f>E47*(1/12)+F47*(1/12)+G47*(1/12)+H47*(1/12)+I47*(1/12)+J47*(2/12)+K47*(5/12)</f>
        <v>269.80925925925925</v>
      </c>
      <c r="M47" s="258"/>
    </row>
    <row r="48" spans="1:14" ht="15.75" thickBot="1" x14ac:dyDescent="0.3">
      <c r="A48" s="227"/>
      <c r="B48" s="268" t="s">
        <v>1063</v>
      </c>
      <c r="C48" s="269"/>
      <c r="D48" s="269"/>
      <c r="E48" s="274">
        <f>SUM(E46:E47)</f>
        <v>454.8</v>
      </c>
      <c r="F48" s="275">
        <f t="shared" ref="F48:J48" si="16">SUM(F46:F47)</f>
        <v>452.8</v>
      </c>
      <c r="G48" s="275">
        <f t="shared" si="16"/>
        <v>450.8</v>
      </c>
      <c r="H48" s="275">
        <f t="shared" si="16"/>
        <v>451.8</v>
      </c>
      <c r="I48" s="275">
        <f t="shared" si="16"/>
        <v>451.8</v>
      </c>
      <c r="J48" s="275">
        <f t="shared" si="16"/>
        <v>450.97777777777776</v>
      </c>
      <c r="K48" s="275">
        <f>SUM(K46:K47)</f>
        <v>445.04444444444448</v>
      </c>
      <c r="L48" s="276">
        <f>SUM(L46:L47)</f>
        <v>449.09814814814814</v>
      </c>
      <c r="M48" s="258"/>
    </row>
    <row r="49" spans="1:13" x14ac:dyDescent="0.25">
      <c r="A49" s="227"/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83"/>
  <sheetViews>
    <sheetView showGridLines="0" zoomScale="85" zoomScaleNormal="100" workbookViewId="0">
      <selection activeCell="P2376" sqref="P2376"/>
    </sheetView>
  </sheetViews>
  <sheetFormatPr baseColWidth="10" defaultColWidth="8.85546875" defaultRowHeight="15" customHeight="1" x14ac:dyDescent="0.25"/>
  <cols>
    <col min="1" max="1" width="15.85546875" customWidth="1"/>
    <col min="2" max="2" width="22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31.85546875" customWidth="1"/>
    <col min="12" max="12" width="26" customWidth="1"/>
    <col min="13" max="13" width="24.85546875" customWidth="1"/>
    <col min="14" max="14" width="27.28515625" customWidth="1"/>
    <col min="15" max="15" width="41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2" t="s">
        <v>67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4" ht="59.45" customHeight="1" thickBot="1" x14ac:dyDescent="0.3">
      <c r="A2" s="99" t="s">
        <v>68</v>
      </c>
      <c r="B2" s="99"/>
      <c r="C2" s="99"/>
      <c r="D2" s="99"/>
      <c r="E2" s="99"/>
      <c r="F2" s="99"/>
      <c r="G2" s="99"/>
      <c r="H2" s="99"/>
      <c r="I2" s="99" t="s">
        <v>719</v>
      </c>
      <c r="J2" s="99" t="s">
        <v>719</v>
      </c>
      <c r="K2" s="99"/>
      <c r="L2" s="99" t="s">
        <v>718</v>
      </c>
      <c r="M2" s="99" t="s">
        <v>718</v>
      </c>
      <c r="N2" s="99" t="s">
        <v>717</v>
      </c>
      <c r="O2" s="99"/>
    </row>
    <row r="3" spans="1:24" ht="90" customHeight="1" thickBot="1" x14ac:dyDescent="0.3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709</v>
      </c>
      <c r="H3" s="9" t="s">
        <v>739</v>
      </c>
      <c r="I3" s="9" t="s">
        <v>80</v>
      </c>
      <c r="J3" s="171" t="s">
        <v>81</v>
      </c>
      <c r="K3" s="172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R3" s="201" t="s">
        <v>794</v>
      </c>
      <c r="S3" s="202" t="s">
        <v>70</v>
      </c>
      <c r="U3" s="201" t="s">
        <v>69</v>
      </c>
      <c r="V3" s="203" t="s">
        <v>71</v>
      </c>
      <c r="W3" s="204" t="s">
        <v>72</v>
      </c>
      <c r="X3" s="202" t="s">
        <v>73</v>
      </c>
    </row>
    <row r="4" spans="1:24" ht="15" customHeight="1" x14ac:dyDescent="0.25">
      <c r="A4" s="87" t="s">
        <v>803</v>
      </c>
      <c r="B4" s="39" t="s">
        <v>804</v>
      </c>
      <c r="C4" s="39">
        <v>2010</v>
      </c>
      <c r="D4" s="36" t="s">
        <v>800</v>
      </c>
      <c r="E4" s="36" t="s">
        <v>801</v>
      </c>
      <c r="F4" s="215" t="s">
        <v>802</v>
      </c>
      <c r="G4" s="36"/>
      <c r="H4" s="36"/>
      <c r="I4" s="220">
        <v>17595636.579999998</v>
      </c>
      <c r="J4" s="215"/>
      <c r="K4" s="170" t="s">
        <v>84</v>
      </c>
      <c r="L4" s="89"/>
      <c r="M4" s="89"/>
      <c r="N4" s="89"/>
      <c r="O4" s="175"/>
      <c r="R4" s="199" t="s">
        <v>84</v>
      </c>
      <c r="S4" s="200">
        <f>IFERROR(SUMIF(K$4:K$20000,R4,I$4:I$20000),0)+IFERROR(SUMIF(K$4:K$20000,R4,J$4:J$20000),0)</f>
        <v>69327025.479999974</v>
      </c>
      <c r="U4" s="191" t="str">
        <f>Gruppering201[[#This Row],[Gruppering 201*]]</f>
        <v>1. Lønn</v>
      </c>
      <c r="V4" s="190">
        <f t="shared" ref="V4:V27" si="0">IFERROR(SUMIF(K$4:K$20000,$U4,L$4:L$20000),0)</f>
        <v>0</v>
      </c>
      <c r="W4" s="190">
        <f t="shared" ref="W4:W27" si="1">+IFERROR(SUMIF(K$4:K$20000,$U4,M$4:M$20000),0)</f>
        <v>0</v>
      </c>
      <c r="X4" s="192">
        <f t="shared" ref="X4:X27" si="2">+IFERROR(SUMIF(K$4:K$20000,U4,N$4:N$20000),0)</f>
        <v>0</v>
      </c>
    </row>
    <row r="5" spans="1:24" ht="15" customHeight="1" x14ac:dyDescent="0.25">
      <c r="A5" s="87" t="s">
        <v>805</v>
      </c>
      <c r="B5" s="39" t="s">
        <v>806</v>
      </c>
      <c r="C5" s="39">
        <v>2010</v>
      </c>
      <c r="D5" s="36" t="s">
        <v>800</v>
      </c>
      <c r="E5" s="36" t="s">
        <v>801</v>
      </c>
      <c r="F5" s="38" t="s">
        <v>802</v>
      </c>
      <c r="G5" s="36"/>
      <c r="H5" s="36"/>
      <c r="I5" s="220">
        <v>8953654.5099999998</v>
      </c>
      <c r="J5" s="215"/>
      <c r="K5" s="170" t="s">
        <v>84</v>
      </c>
      <c r="L5" s="89"/>
      <c r="M5" s="89"/>
      <c r="N5" s="89"/>
      <c r="O5" s="175"/>
      <c r="R5" s="68" t="s">
        <v>85</v>
      </c>
      <c r="S5" s="71">
        <f t="shared" ref="S5:S28" si="3">IFERROR(SUMIF(K$4:K$20000,R5,I$4:I$20000),0)+IFERROR(SUMIF(K$4:K$20000,R5,J$4:J$20000),0)</f>
        <v>17259547.829999998</v>
      </c>
      <c r="U5" s="193" t="str">
        <f>Gruppering201[[#This Row],[Gruppering 201*]]</f>
        <v>9. Pensjon</v>
      </c>
      <c r="V5" s="190">
        <f t="shared" si="0"/>
        <v>0</v>
      </c>
      <c r="W5" s="190">
        <f t="shared" si="1"/>
        <v>0</v>
      </c>
      <c r="X5" s="192">
        <f t="shared" si="2"/>
        <v>0</v>
      </c>
    </row>
    <row r="6" spans="1:24" ht="15" customHeight="1" x14ac:dyDescent="0.25">
      <c r="A6" s="87" t="s">
        <v>807</v>
      </c>
      <c r="B6" s="36" t="s">
        <v>808</v>
      </c>
      <c r="C6" s="39">
        <v>2010</v>
      </c>
      <c r="D6" s="36" t="s">
        <v>800</v>
      </c>
      <c r="E6" s="36" t="s">
        <v>801</v>
      </c>
      <c r="F6" s="38" t="s">
        <v>802</v>
      </c>
      <c r="G6" s="36"/>
      <c r="H6" s="36"/>
      <c r="I6" s="220">
        <v>12939701.99</v>
      </c>
      <c r="J6" s="215"/>
      <c r="K6" s="170" t="s">
        <v>84</v>
      </c>
      <c r="L6" s="89"/>
      <c r="M6" s="89"/>
      <c r="N6" s="89"/>
      <c r="O6" s="175"/>
      <c r="R6" s="67" t="s">
        <v>86</v>
      </c>
      <c r="S6" s="71">
        <f t="shared" si="3"/>
        <v>11240902.309999999</v>
      </c>
      <c r="U6" s="191" t="str">
        <f>Gruppering201[[#This Row],[Gruppering 201*]]</f>
        <v>91. Arbeidsgiveravgift</v>
      </c>
      <c r="V6" s="190">
        <f t="shared" si="0"/>
        <v>0</v>
      </c>
      <c r="W6" s="190">
        <f t="shared" si="1"/>
        <v>0</v>
      </c>
      <c r="X6" s="192">
        <f t="shared" si="2"/>
        <v>0</v>
      </c>
    </row>
    <row r="7" spans="1:24" ht="15" customHeight="1" x14ac:dyDescent="0.25">
      <c r="A7" s="87" t="s">
        <v>809</v>
      </c>
      <c r="B7" s="36" t="s">
        <v>810</v>
      </c>
      <c r="C7" s="39">
        <v>2010</v>
      </c>
      <c r="D7" s="36" t="s">
        <v>800</v>
      </c>
      <c r="E7" s="36" t="s">
        <v>801</v>
      </c>
      <c r="F7" s="38" t="s">
        <v>802</v>
      </c>
      <c r="G7" s="36"/>
      <c r="H7" s="36"/>
      <c r="I7" s="220">
        <v>11831725.27</v>
      </c>
      <c r="J7" s="215"/>
      <c r="K7" s="170" t="s">
        <v>84</v>
      </c>
      <c r="L7" s="89"/>
      <c r="M7" s="89"/>
      <c r="N7" s="89"/>
      <c r="O7" s="175"/>
      <c r="R7" s="68" t="s">
        <v>88</v>
      </c>
      <c r="S7" s="71">
        <f>IFERROR(SUMIF(K$4:K$20000,R7,I$4:I$20000),0)+IFERROR(SUMIF(K$4:K$20000,R7,J$4:J$20000),0)</f>
        <v>3584410.5399999991</v>
      </c>
      <c r="U7" s="193" t="str">
        <f>Gruppering201[[#This Row],[Gruppering 201*]]</f>
        <v xml:space="preserve">2. Varer og tjenester </v>
      </c>
      <c r="V7" s="190">
        <f t="shared" si="0"/>
        <v>0</v>
      </c>
      <c r="W7" s="190">
        <f t="shared" si="1"/>
        <v>0</v>
      </c>
      <c r="X7" s="192">
        <f t="shared" si="2"/>
        <v>0</v>
      </c>
    </row>
    <row r="8" spans="1:24" ht="15" customHeight="1" x14ac:dyDescent="0.25">
      <c r="A8" s="87" t="s">
        <v>811</v>
      </c>
      <c r="B8" s="36" t="s">
        <v>812</v>
      </c>
      <c r="C8" s="39">
        <v>2010</v>
      </c>
      <c r="D8" s="36" t="s">
        <v>800</v>
      </c>
      <c r="E8" s="36" t="s">
        <v>801</v>
      </c>
      <c r="F8" s="38" t="s">
        <v>802</v>
      </c>
      <c r="G8" s="36"/>
      <c r="H8" s="36"/>
      <c r="I8" s="220">
        <v>13784548.66</v>
      </c>
      <c r="J8" s="215"/>
      <c r="K8" s="170" t="s">
        <v>84</v>
      </c>
      <c r="L8" s="89"/>
      <c r="M8" s="89"/>
      <c r="N8" s="89"/>
      <c r="O8" s="175"/>
      <c r="R8" s="67" t="s">
        <v>89</v>
      </c>
      <c r="S8" s="71">
        <f t="shared" si="3"/>
        <v>539620.48</v>
      </c>
      <c r="U8" s="191" t="str">
        <f>Gruppering201[[#This Row],[Gruppering 201*]]</f>
        <v>3. Mva</v>
      </c>
      <c r="V8" s="190">
        <f t="shared" si="0"/>
        <v>0</v>
      </c>
      <c r="W8" s="190">
        <f t="shared" si="1"/>
        <v>0</v>
      </c>
      <c r="X8" s="192">
        <f t="shared" si="2"/>
        <v>0</v>
      </c>
    </row>
    <row r="9" spans="1:24" ht="15" customHeight="1" x14ac:dyDescent="0.25">
      <c r="A9" s="87" t="s">
        <v>798</v>
      </c>
      <c r="B9" s="39" t="s">
        <v>799</v>
      </c>
      <c r="C9" s="39">
        <v>2010</v>
      </c>
      <c r="D9" s="36" t="s">
        <v>800</v>
      </c>
      <c r="E9" s="36" t="s">
        <v>801</v>
      </c>
      <c r="F9" s="215" t="s">
        <v>802</v>
      </c>
      <c r="G9" s="36"/>
      <c r="H9" s="36"/>
      <c r="I9" s="220">
        <v>2076311.19</v>
      </c>
      <c r="J9" s="215"/>
      <c r="K9" s="170" t="s">
        <v>87</v>
      </c>
      <c r="L9" s="89"/>
      <c r="M9" s="89"/>
      <c r="N9" s="89"/>
      <c r="O9" s="175"/>
      <c r="R9" s="68" t="s">
        <v>90</v>
      </c>
      <c r="S9" s="71">
        <f t="shared" si="3"/>
        <v>-7592620</v>
      </c>
      <c r="U9" s="193" t="str">
        <f>Gruppering201[[#This Row],[Gruppering 201*]]</f>
        <v>5. Sykelønnsrefusjon</v>
      </c>
      <c r="V9" s="190">
        <f t="shared" si="0"/>
        <v>0</v>
      </c>
      <c r="W9" s="190">
        <f t="shared" si="1"/>
        <v>0</v>
      </c>
      <c r="X9" s="192">
        <f t="shared" si="2"/>
        <v>0</v>
      </c>
    </row>
    <row r="10" spans="1:24" ht="15" customHeight="1" x14ac:dyDescent="0.25">
      <c r="A10" s="87" t="s">
        <v>803</v>
      </c>
      <c r="B10" s="39" t="s">
        <v>804</v>
      </c>
      <c r="C10" s="39">
        <v>2010</v>
      </c>
      <c r="D10" s="36" t="s">
        <v>800</v>
      </c>
      <c r="E10" s="36" t="s">
        <v>813</v>
      </c>
      <c r="F10" s="215" t="s">
        <v>814</v>
      </c>
      <c r="G10" s="36"/>
      <c r="H10" s="36"/>
      <c r="I10" s="220">
        <v>1184668.77</v>
      </c>
      <c r="J10" s="215"/>
      <c r="K10" s="170" t="s">
        <v>84</v>
      </c>
      <c r="L10" s="89"/>
      <c r="M10" s="89"/>
      <c r="N10" s="89"/>
      <c r="O10" s="175"/>
      <c r="R10" s="67" t="s">
        <v>91</v>
      </c>
      <c r="S10" s="71">
        <f t="shared" si="3"/>
        <v>-539620.48</v>
      </c>
      <c r="U10" s="191" t="str">
        <f>Gruppering201[[#This Row],[Gruppering 201*]]</f>
        <v>6. Mva-kompensasjon</v>
      </c>
      <c r="V10" s="190">
        <f t="shared" si="0"/>
        <v>0</v>
      </c>
      <c r="W10" s="190">
        <f t="shared" si="1"/>
        <v>0</v>
      </c>
      <c r="X10" s="192">
        <f t="shared" si="2"/>
        <v>0</v>
      </c>
    </row>
    <row r="11" spans="1:24" ht="15" customHeight="1" x14ac:dyDescent="0.25">
      <c r="A11" s="87" t="s">
        <v>805</v>
      </c>
      <c r="B11" s="39" t="s">
        <v>806</v>
      </c>
      <c r="C11" s="39">
        <v>2010</v>
      </c>
      <c r="D11" s="36" t="s">
        <v>800</v>
      </c>
      <c r="E11" s="36" t="s">
        <v>813</v>
      </c>
      <c r="F11" s="38" t="s">
        <v>814</v>
      </c>
      <c r="G11" s="36"/>
      <c r="H11" s="36"/>
      <c r="I11" s="220">
        <v>306612.44</v>
      </c>
      <c r="J11" s="215"/>
      <c r="K11" s="170" t="s">
        <v>84</v>
      </c>
      <c r="L11" s="89"/>
      <c r="M11" s="89"/>
      <c r="N11" s="89"/>
      <c r="O11" s="175"/>
      <c r="R11" s="70" t="s">
        <v>760</v>
      </c>
      <c r="S11" s="71">
        <f t="shared" si="3"/>
        <v>-1730744.01</v>
      </c>
      <c r="U11" s="193" t="str">
        <f>Gruppering201[[#This Row],[Gruppering 201*]]</f>
        <v>7. Matpenger (innbetalte kostpenger)</v>
      </c>
      <c r="V11" s="190">
        <f t="shared" si="0"/>
        <v>0</v>
      </c>
      <c r="W11" s="190">
        <f t="shared" si="1"/>
        <v>0</v>
      </c>
      <c r="X11" s="192">
        <f t="shared" si="2"/>
        <v>0</v>
      </c>
    </row>
    <row r="12" spans="1:24" ht="15" customHeight="1" x14ac:dyDescent="0.25">
      <c r="A12" s="87" t="s">
        <v>807</v>
      </c>
      <c r="B12" s="36" t="s">
        <v>808</v>
      </c>
      <c r="C12" s="39">
        <v>2010</v>
      </c>
      <c r="D12" s="36" t="s">
        <v>800</v>
      </c>
      <c r="E12" s="36" t="s">
        <v>813</v>
      </c>
      <c r="F12" s="38" t="s">
        <v>814</v>
      </c>
      <c r="G12" s="36"/>
      <c r="H12" s="36"/>
      <c r="I12" s="220">
        <v>578515.01</v>
      </c>
      <c r="J12" s="215"/>
      <c r="K12" s="170" t="s">
        <v>84</v>
      </c>
      <c r="L12" s="89"/>
      <c r="M12" s="89"/>
      <c r="N12" s="89"/>
      <c r="O12" s="175"/>
      <c r="R12" s="68" t="s">
        <v>726</v>
      </c>
      <c r="S12" s="71">
        <f t="shared" si="3"/>
        <v>0</v>
      </c>
      <c r="U12" s="193" t="str">
        <f>Gruppering201[[#This Row],[Gruppering 201*]]</f>
        <v>Andre tilskudd og refusjoner</v>
      </c>
      <c r="V12" s="190">
        <f t="shared" si="0"/>
        <v>0</v>
      </c>
      <c r="W12" s="190">
        <f t="shared" si="1"/>
        <v>0</v>
      </c>
      <c r="X12" s="192">
        <f t="shared" si="2"/>
        <v>0</v>
      </c>
    </row>
    <row r="13" spans="1:24" ht="15" customHeight="1" x14ac:dyDescent="0.25">
      <c r="A13" s="87" t="s">
        <v>809</v>
      </c>
      <c r="B13" s="36" t="s">
        <v>810</v>
      </c>
      <c r="C13" s="39">
        <v>2010</v>
      </c>
      <c r="D13" s="36" t="s">
        <v>800</v>
      </c>
      <c r="E13" s="36" t="s">
        <v>813</v>
      </c>
      <c r="F13" s="38" t="s">
        <v>814</v>
      </c>
      <c r="G13" s="36"/>
      <c r="H13" s="36"/>
      <c r="I13" s="220">
        <v>180704.24</v>
      </c>
      <c r="J13" s="215"/>
      <c r="K13" s="170" t="s">
        <v>84</v>
      </c>
      <c r="L13" s="89"/>
      <c r="M13" s="89"/>
      <c r="N13" s="89"/>
      <c r="O13" s="175"/>
      <c r="R13" s="67" t="s">
        <v>92</v>
      </c>
      <c r="S13" s="71">
        <f t="shared" si="3"/>
        <v>-7985450.1999999993</v>
      </c>
      <c r="U13" s="191" t="str">
        <f>Gruppering201[[#This Row],[Gruppering 201*]]</f>
        <v>Foreldrebetaling</v>
      </c>
      <c r="V13" s="190">
        <f t="shared" si="0"/>
        <v>0</v>
      </c>
      <c r="W13" s="190">
        <f t="shared" si="1"/>
        <v>0</v>
      </c>
      <c r="X13" s="192">
        <f t="shared" si="2"/>
        <v>0</v>
      </c>
    </row>
    <row r="14" spans="1:24" ht="15" customHeight="1" x14ac:dyDescent="0.25">
      <c r="A14" s="87" t="s">
        <v>811</v>
      </c>
      <c r="B14" s="36" t="s">
        <v>812</v>
      </c>
      <c r="C14" s="39">
        <v>2010</v>
      </c>
      <c r="D14" s="36" t="s">
        <v>800</v>
      </c>
      <c r="E14" s="36" t="s">
        <v>813</v>
      </c>
      <c r="F14" s="38" t="s">
        <v>814</v>
      </c>
      <c r="G14" s="36"/>
      <c r="H14" s="36"/>
      <c r="I14" s="220">
        <v>1597679.96</v>
      </c>
      <c r="J14" s="215"/>
      <c r="K14" s="170" t="s">
        <v>84</v>
      </c>
      <c r="L14" s="89"/>
      <c r="M14" s="89"/>
      <c r="N14" s="89"/>
      <c r="O14" s="175"/>
      <c r="R14" s="68" t="s">
        <v>729</v>
      </c>
      <c r="S14" s="71">
        <f>IFERROR(SUMIF(K$4:K$20000,R14,I$4:I$20000),0)+IFERROR(SUMIF(K$4:K$20000,R14,J$4:J$20000),0)</f>
        <v>0</v>
      </c>
      <c r="U14" s="193" t="str">
        <f>Gruppering201[[#This Row],[Gruppering 201*]]</f>
        <v>Internt salg/matsalg</v>
      </c>
      <c r="V14" s="190">
        <f t="shared" si="0"/>
        <v>0</v>
      </c>
      <c r="W14" s="190">
        <f t="shared" si="1"/>
        <v>0</v>
      </c>
      <c r="X14" s="192">
        <f t="shared" si="2"/>
        <v>0</v>
      </c>
    </row>
    <row r="15" spans="1:24" ht="15" customHeight="1" x14ac:dyDescent="0.25">
      <c r="A15" s="87" t="s">
        <v>815</v>
      </c>
      <c r="B15" s="33" t="s">
        <v>816</v>
      </c>
      <c r="C15" s="35">
        <v>2010</v>
      </c>
      <c r="D15" s="33" t="s">
        <v>800</v>
      </c>
      <c r="E15" s="33" t="s">
        <v>813</v>
      </c>
      <c r="F15" s="34" t="s">
        <v>814</v>
      </c>
      <c r="G15" s="33"/>
      <c r="H15" s="33"/>
      <c r="I15" s="221">
        <v>10339.9</v>
      </c>
      <c r="J15" s="215"/>
      <c r="K15" s="170" t="s">
        <v>95</v>
      </c>
      <c r="L15" s="89"/>
      <c r="M15" s="89"/>
      <c r="N15" s="89"/>
      <c r="O15" s="175"/>
      <c r="R15" s="67" t="s">
        <v>87</v>
      </c>
      <c r="S15" s="71">
        <f t="shared" si="3"/>
        <v>4632348.43</v>
      </c>
      <c r="U15" s="191" t="str">
        <f>Gruppering201[[#This Row],[Gruppering 201*]]</f>
        <v>Barnehagemyndighet</v>
      </c>
      <c r="V15" s="190">
        <f t="shared" si="0"/>
        <v>0</v>
      </c>
      <c r="W15" s="190">
        <f t="shared" si="1"/>
        <v>0</v>
      </c>
      <c r="X15" s="192">
        <f t="shared" si="2"/>
        <v>0</v>
      </c>
    </row>
    <row r="16" spans="1:24" ht="15" customHeight="1" x14ac:dyDescent="0.25">
      <c r="A16" s="87" t="s">
        <v>803</v>
      </c>
      <c r="B16" s="39" t="s">
        <v>804</v>
      </c>
      <c r="C16" s="39">
        <v>2010</v>
      </c>
      <c r="D16" s="36" t="s">
        <v>800</v>
      </c>
      <c r="E16" s="36" t="s">
        <v>817</v>
      </c>
      <c r="F16" s="215" t="s">
        <v>818</v>
      </c>
      <c r="G16" s="36"/>
      <c r="H16" s="36"/>
      <c r="I16" s="220">
        <v>27278.22</v>
      </c>
      <c r="J16" s="215"/>
      <c r="K16" s="170" t="s">
        <v>84</v>
      </c>
      <c r="L16" s="89"/>
      <c r="M16" s="89"/>
      <c r="N16" s="89"/>
      <c r="O16" s="175"/>
      <c r="R16" s="68" t="s">
        <v>95</v>
      </c>
      <c r="S16" s="71">
        <f t="shared" si="3"/>
        <v>12212.68</v>
      </c>
      <c r="U16" s="193" t="str">
        <f>Gruppering201[[#This Row],[Gruppering 201*]]</f>
        <v>Feilføring</v>
      </c>
      <c r="V16" s="190">
        <f t="shared" si="0"/>
        <v>0</v>
      </c>
      <c r="W16" s="190">
        <f t="shared" si="1"/>
        <v>0</v>
      </c>
      <c r="X16" s="192">
        <f t="shared" si="2"/>
        <v>0</v>
      </c>
    </row>
    <row r="17" spans="1:24" ht="15" customHeight="1" x14ac:dyDescent="0.25">
      <c r="A17" s="87" t="s">
        <v>811</v>
      </c>
      <c r="B17" s="36" t="s">
        <v>812</v>
      </c>
      <c r="C17" s="39">
        <v>2010</v>
      </c>
      <c r="D17" s="36" t="s">
        <v>800</v>
      </c>
      <c r="E17" s="36" t="s">
        <v>817</v>
      </c>
      <c r="F17" s="38" t="s">
        <v>818</v>
      </c>
      <c r="G17" s="36"/>
      <c r="H17" s="36"/>
      <c r="I17" s="220">
        <v>77897.11</v>
      </c>
      <c r="J17" s="215"/>
      <c r="K17" s="170" t="s">
        <v>84</v>
      </c>
      <c r="L17" s="89"/>
      <c r="M17" s="89"/>
      <c r="N17" s="89"/>
      <c r="O17" s="175"/>
      <c r="R17" s="69" t="s">
        <v>96</v>
      </c>
      <c r="S17" s="71">
        <f t="shared" si="3"/>
        <v>373022.30000000005</v>
      </c>
      <c r="U17" s="193" t="str">
        <f>Gruppering201[[#This Row],[Gruppering 201*]]</f>
        <v>Lærlinger</v>
      </c>
      <c r="V17" s="190">
        <f t="shared" si="0"/>
        <v>0</v>
      </c>
      <c r="W17" s="190">
        <f t="shared" si="1"/>
        <v>0</v>
      </c>
      <c r="X17" s="192">
        <f t="shared" si="2"/>
        <v>0</v>
      </c>
    </row>
    <row r="18" spans="1:24" ht="15" customHeight="1" x14ac:dyDescent="0.25">
      <c r="A18" s="87" t="s">
        <v>803</v>
      </c>
      <c r="B18" s="39" t="s">
        <v>804</v>
      </c>
      <c r="C18" s="39">
        <v>2010</v>
      </c>
      <c r="D18" s="36" t="s">
        <v>800</v>
      </c>
      <c r="E18" s="36" t="s">
        <v>819</v>
      </c>
      <c r="F18" s="215" t="s">
        <v>820</v>
      </c>
      <c r="G18" s="36"/>
      <c r="H18" s="36"/>
      <c r="I18" s="220">
        <v>27986.14</v>
      </c>
      <c r="J18" s="215"/>
      <c r="K18" s="170" t="s">
        <v>84</v>
      </c>
      <c r="L18" s="89"/>
      <c r="M18" s="89"/>
      <c r="N18" s="89"/>
      <c r="O18" s="175"/>
      <c r="R18" s="70" t="s">
        <v>97</v>
      </c>
      <c r="S18" s="71">
        <f t="shared" si="3"/>
        <v>9483.99</v>
      </c>
      <c r="U18" s="193" t="str">
        <f>Gruppering201[[#This Row],[Gruppering 201*]]</f>
        <v>Tap på krav</v>
      </c>
      <c r="V18" s="190">
        <f t="shared" si="0"/>
        <v>0</v>
      </c>
      <c r="W18" s="190">
        <f t="shared" si="1"/>
        <v>0</v>
      </c>
      <c r="X18" s="192">
        <f t="shared" si="2"/>
        <v>0</v>
      </c>
    </row>
    <row r="19" spans="1:24" ht="15" customHeight="1" x14ac:dyDescent="0.25">
      <c r="A19" s="87" t="s">
        <v>809</v>
      </c>
      <c r="B19" s="36" t="s">
        <v>810</v>
      </c>
      <c r="C19" s="39">
        <v>2010</v>
      </c>
      <c r="D19" s="36" t="s">
        <v>800</v>
      </c>
      <c r="E19" s="36" t="s">
        <v>819</v>
      </c>
      <c r="F19" s="38" t="s">
        <v>820</v>
      </c>
      <c r="G19" s="36"/>
      <c r="H19" s="36"/>
      <c r="I19" s="220">
        <v>4275.3900000000003</v>
      </c>
      <c r="J19" s="215"/>
      <c r="K19" s="170" t="s">
        <v>84</v>
      </c>
      <c r="L19" s="89"/>
      <c r="M19" s="89"/>
      <c r="N19" s="89"/>
      <c r="O19" s="175"/>
      <c r="R19" s="70" t="s">
        <v>728</v>
      </c>
      <c r="S19" s="71">
        <f t="shared" si="3"/>
        <v>10833.16</v>
      </c>
      <c r="U19" s="193" t="str">
        <f>Gruppering201[[#This Row],[Gruppering 201*]]</f>
        <v>Kapitalkostnader, renter og avskrivning bygg</v>
      </c>
      <c r="V19" s="190">
        <f t="shared" si="0"/>
        <v>0</v>
      </c>
      <c r="W19" s="190">
        <f t="shared" si="1"/>
        <v>0</v>
      </c>
      <c r="X19" s="192">
        <f t="shared" si="2"/>
        <v>0</v>
      </c>
    </row>
    <row r="20" spans="1:24" ht="15" customHeight="1" x14ac:dyDescent="0.25">
      <c r="A20" s="87" t="s">
        <v>811</v>
      </c>
      <c r="B20" s="36" t="s">
        <v>812</v>
      </c>
      <c r="C20" s="39">
        <v>2010</v>
      </c>
      <c r="D20" s="36" t="s">
        <v>800</v>
      </c>
      <c r="E20" s="36" t="s">
        <v>819</v>
      </c>
      <c r="F20" s="38" t="s">
        <v>820</v>
      </c>
      <c r="G20" s="36"/>
      <c r="H20" s="36"/>
      <c r="I20" s="220">
        <v>34260.269999999997</v>
      </c>
      <c r="J20" s="215"/>
      <c r="K20" s="170" t="s">
        <v>84</v>
      </c>
      <c r="L20" s="89"/>
      <c r="M20" s="89"/>
      <c r="N20" s="89"/>
      <c r="O20" s="175"/>
      <c r="R20" s="70" t="s">
        <v>93</v>
      </c>
      <c r="S20" s="71">
        <f t="shared" si="3"/>
        <v>118007607.34</v>
      </c>
      <c r="U20" s="193" t="str">
        <f>Gruppering201[[#This Row],[Gruppering 201*]]</f>
        <v>Tilskudd private</v>
      </c>
      <c r="V20" s="190">
        <f t="shared" si="0"/>
        <v>0</v>
      </c>
      <c r="W20" s="190">
        <f t="shared" si="1"/>
        <v>0</v>
      </c>
      <c r="X20" s="192">
        <f t="shared" si="2"/>
        <v>0</v>
      </c>
    </row>
    <row r="21" spans="1:24" ht="15" customHeight="1" x14ac:dyDescent="0.25">
      <c r="A21" s="87" t="s">
        <v>803</v>
      </c>
      <c r="B21" s="39" t="s">
        <v>804</v>
      </c>
      <c r="C21" s="39">
        <v>2010</v>
      </c>
      <c r="D21" s="36" t="s">
        <v>800</v>
      </c>
      <c r="E21" s="36" t="s">
        <v>821</v>
      </c>
      <c r="F21" s="215" t="s">
        <v>822</v>
      </c>
      <c r="G21" s="36"/>
      <c r="H21" s="36"/>
      <c r="I21" s="220">
        <v>34145.370000000003</v>
      </c>
      <c r="J21" s="215"/>
      <c r="K21" s="170" t="s">
        <v>84</v>
      </c>
      <c r="L21" s="89"/>
      <c r="M21" s="89"/>
      <c r="N21" s="89"/>
      <c r="O21" s="175"/>
      <c r="R21" s="70" t="s">
        <v>94</v>
      </c>
      <c r="S21" s="71">
        <f t="shared" si="3"/>
        <v>-3047379</v>
      </c>
      <c r="U21" s="193" t="str">
        <f>Gruppering201[[#This Row],[Gruppering 201*]]</f>
        <v>Annet</v>
      </c>
      <c r="V21" s="190">
        <f t="shared" si="0"/>
        <v>0</v>
      </c>
      <c r="W21" s="190">
        <f t="shared" si="1"/>
        <v>0</v>
      </c>
      <c r="X21" s="192">
        <f t="shared" si="2"/>
        <v>0</v>
      </c>
    </row>
    <row r="22" spans="1:24" ht="15" customHeight="1" x14ac:dyDescent="0.25">
      <c r="A22" s="87" t="s">
        <v>805</v>
      </c>
      <c r="B22" s="39" t="s">
        <v>806</v>
      </c>
      <c r="C22" s="39">
        <v>2010</v>
      </c>
      <c r="D22" s="36" t="s">
        <v>800</v>
      </c>
      <c r="E22" s="36" t="s">
        <v>821</v>
      </c>
      <c r="F22" s="38" t="s">
        <v>822</v>
      </c>
      <c r="G22" s="36"/>
      <c r="H22" s="36"/>
      <c r="I22" s="220">
        <v>-102842.25</v>
      </c>
      <c r="J22" s="215"/>
      <c r="K22" s="170" t="s">
        <v>84</v>
      </c>
      <c r="L22" s="89"/>
      <c r="M22" s="89"/>
      <c r="N22" s="89"/>
      <c r="O22" s="175"/>
      <c r="R22" s="70" t="s">
        <v>43</v>
      </c>
      <c r="S22" s="71">
        <f t="shared" si="3"/>
        <v>0</v>
      </c>
      <c r="U22" s="194" t="s">
        <v>43</v>
      </c>
      <c r="V22" s="190">
        <f t="shared" si="0"/>
        <v>0</v>
      </c>
      <c r="W22" s="190">
        <f t="shared" si="1"/>
        <v>0</v>
      </c>
      <c r="X22" s="192">
        <f t="shared" si="2"/>
        <v>0</v>
      </c>
    </row>
    <row r="23" spans="1:24" ht="15" customHeight="1" x14ac:dyDescent="0.25">
      <c r="A23" s="87" t="s">
        <v>807</v>
      </c>
      <c r="B23" s="36" t="s">
        <v>808</v>
      </c>
      <c r="C23" s="39">
        <v>2010</v>
      </c>
      <c r="D23" s="36" t="s">
        <v>800</v>
      </c>
      <c r="E23" s="36" t="s">
        <v>821</v>
      </c>
      <c r="F23" s="38" t="s">
        <v>822</v>
      </c>
      <c r="G23" s="36"/>
      <c r="H23" s="36"/>
      <c r="I23" s="220">
        <v>-55078.65</v>
      </c>
      <c r="J23" s="215"/>
      <c r="K23" s="170" t="s">
        <v>84</v>
      </c>
      <c r="L23" s="89"/>
      <c r="M23" s="89"/>
      <c r="N23" s="89"/>
      <c r="O23" s="175"/>
      <c r="R23" s="70"/>
      <c r="S23" s="71">
        <f t="shared" si="3"/>
        <v>0</v>
      </c>
      <c r="U23" s="194"/>
      <c r="V23" s="190">
        <f t="shared" si="0"/>
        <v>0</v>
      </c>
      <c r="W23" s="190">
        <f t="shared" si="1"/>
        <v>0</v>
      </c>
      <c r="X23" s="192">
        <f t="shared" si="2"/>
        <v>0</v>
      </c>
    </row>
    <row r="24" spans="1:24" ht="15" customHeight="1" x14ac:dyDescent="0.25">
      <c r="A24" s="87" t="s">
        <v>809</v>
      </c>
      <c r="B24" s="36" t="s">
        <v>810</v>
      </c>
      <c r="C24" s="39">
        <v>2010</v>
      </c>
      <c r="D24" s="36" t="s">
        <v>800</v>
      </c>
      <c r="E24" s="36" t="s">
        <v>821</v>
      </c>
      <c r="F24" s="38" t="s">
        <v>822</v>
      </c>
      <c r="G24" s="36"/>
      <c r="H24" s="36"/>
      <c r="I24" s="220">
        <v>53491.25</v>
      </c>
      <c r="J24" s="215"/>
      <c r="K24" s="170" t="s">
        <v>84</v>
      </c>
      <c r="L24" s="89"/>
      <c r="M24" s="89"/>
      <c r="N24" s="89"/>
      <c r="O24" s="175"/>
      <c r="R24" s="70"/>
      <c r="S24" s="71">
        <f t="shared" si="3"/>
        <v>0</v>
      </c>
      <c r="U24" s="194"/>
      <c r="V24" s="190">
        <f t="shared" si="0"/>
        <v>0</v>
      </c>
      <c r="W24" s="190">
        <f t="shared" si="1"/>
        <v>0</v>
      </c>
      <c r="X24" s="192">
        <f t="shared" si="2"/>
        <v>0</v>
      </c>
    </row>
    <row r="25" spans="1:24" ht="15" customHeight="1" x14ac:dyDescent="0.25">
      <c r="A25" s="87" t="s">
        <v>811</v>
      </c>
      <c r="B25" s="33" t="s">
        <v>812</v>
      </c>
      <c r="C25" s="35">
        <v>2010</v>
      </c>
      <c r="D25" s="33" t="s">
        <v>800</v>
      </c>
      <c r="E25" s="33" t="s">
        <v>821</v>
      </c>
      <c r="F25" s="34" t="s">
        <v>822</v>
      </c>
      <c r="G25" s="33"/>
      <c r="H25" s="33"/>
      <c r="I25" s="221">
        <v>-120438.13</v>
      </c>
      <c r="J25" s="215"/>
      <c r="K25" s="170" t="s">
        <v>84</v>
      </c>
      <c r="L25" s="89"/>
      <c r="M25" s="89"/>
      <c r="N25" s="89"/>
      <c r="O25" s="175"/>
      <c r="R25" s="70"/>
      <c r="S25" s="71">
        <f t="shared" si="3"/>
        <v>0</v>
      </c>
      <c r="U25" s="194"/>
      <c r="V25" s="190">
        <f t="shared" si="0"/>
        <v>0</v>
      </c>
      <c r="W25" s="190">
        <f t="shared" si="1"/>
        <v>0</v>
      </c>
      <c r="X25" s="192">
        <f t="shared" si="2"/>
        <v>0</v>
      </c>
    </row>
    <row r="26" spans="1:24" ht="15" customHeight="1" x14ac:dyDescent="0.25">
      <c r="A26" s="87" t="s">
        <v>798</v>
      </c>
      <c r="B26" s="39" t="s">
        <v>799</v>
      </c>
      <c r="C26" s="39">
        <v>2010</v>
      </c>
      <c r="D26" s="36" t="s">
        <v>800</v>
      </c>
      <c r="E26" s="36" t="s">
        <v>821</v>
      </c>
      <c r="F26" s="215" t="s">
        <v>822</v>
      </c>
      <c r="G26" s="36"/>
      <c r="H26" s="36"/>
      <c r="I26" s="220">
        <v>-2674</v>
      </c>
      <c r="J26" s="215"/>
      <c r="K26" s="170" t="s">
        <v>87</v>
      </c>
      <c r="L26" s="89"/>
      <c r="M26" s="89"/>
      <c r="N26" s="89"/>
      <c r="O26" s="175"/>
      <c r="R26" s="70"/>
      <c r="S26" s="71">
        <f t="shared" si="3"/>
        <v>0</v>
      </c>
      <c r="U26" s="194"/>
      <c r="V26" s="190">
        <f t="shared" si="0"/>
        <v>0</v>
      </c>
      <c r="W26" s="190">
        <f t="shared" si="1"/>
        <v>0</v>
      </c>
      <c r="X26" s="192">
        <f t="shared" si="2"/>
        <v>0</v>
      </c>
    </row>
    <row r="27" spans="1:24" ht="15" customHeight="1" thickBot="1" x14ac:dyDescent="0.3">
      <c r="A27" s="87" t="s">
        <v>805</v>
      </c>
      <c r="B27" s="39" t="s">
        <v>806</v>
      </c>
      <c r="C27" s="39">
        <v>2010</v>
      </c>
      <c r="D27" s="36" t="s">
        <v>800</v>
      </c>
      <c r="E27" s="36" t="s">
        <v>823</v>
      </c>
      <c r="F27" s="38" t="s">
        <v>824</v>
      </c>
      <c r="G27" s="36"/>
      <c r="H27" s="36"/>
      <c r="I27" s="220">
        <v>73903</v>
      </c>
      <c r="J27" s="215"/>
      <c r="K27" s="170" t="s">
        <v>84</v>
      </c>
      <c r="L27" s="89"/>
      <c r="M27" s="89"/>
      <c r="N27" s="89"/>
      <c r="O27" s="175"/>
      <c r="R27" s="70"/>
      <c r="S27" s="71">
        <f t="shared" si="3"/>
        <v>0</v>
      </c>
      <c r="U27" s="195"/>
      <c r="V27" s="196">
        <f t="shared" si="0"/>
        <v>0</v>
      </c>
      <c r="W27" s="196">
        <f t="shared" si="1"/>
        <v>0</v>
      </c>
      <c r="X27" s="197">
        <f t="shared" si="2"/>
        <v>0</v>
      </c>
    </row>
    <row r="28" spans="1:24" ht="15" customHeight="1" x14ac:dyDescent="0.25">
      <c r="A28" s="87" t="s">
        <v>807</v>
      </c>
      <c r="B28" s="36" t="s">
        <v>808</v>
      </c>
      <c r="C28" s="39">
        <v>2010</v>
      </c>
      <c r="D28" s="36" t="s">
        <v>800</v>
      </c>
      <c r="E28" s="36" t="s">
        <v>823</v>
      </c>
      <c r="F28" s="38" t="s">
        <v>824</v>
      </c>
      <c r="G28" s="36"/>
      <c r="H28" s="36"/>
      <c r="I28" s="220">
        <v>89671</v>
      </c>
      <c r="J28" s="215"/>
      <c r="K28" s="170" t="s">
        <v>84</v>
      </c>
      <c r="L28" s="89"/>
      <c r="M28" s="89"/>
      <c r="N28" s="89"/>
      <c r="O28" s="175"/>
      <c r="R28" s="83"/>
      <c r="S28" s="198">
        <f t="shared" si="3"/>
        <v>0</v>
      </c>
    </row>
    <row r="29" spans="1:24" ht="15" customHeight="1" x14ac:dyDescent="0.25">
      <c r="A29" s="87" t="s">
        <v>811</v>
      </c>
      <c r="B29" s="33" t="s">
        <v>812</v>
      </c>
      <c r="C29" s="35">
        <v>2010</v>
      </c>
      <c r="D29" s="33" t="s">
        <v>800</v>
      </c>
      <c r="E29" s="33" t="s">
        <v>823</v>
      </c>
      <c r="F29" s="34" t="s">
        <v>824</v>
      </c>
      <c r="G29" s="33"/>
      <c r="H29" s="33"/>
      <c r="I29" s="221">
        <v>43014</v>
      </c>
      <c r="J29" s="215"/>
      <c r="K29" s="170" t="s">
        <v>84</v>
      </c>
      <c r="L29" s="89"/>
      <c r="M29" s="89"/>
      <c r="N29" s="89"/>
      <c r="O29" s="175"/>
    </row>
    <row r="30" spans="1:24" ht="15" customHeight="1" x14ac:dyDescent="0.25">
      <c r="A30" s="87" t="s">
        <v>803</v>
      </c>
      <c r="B30" s="39" t="s">
        <v>804</v>
      </c>
      <c r="C30" s="39">
        <v>2010</v>
      </c>
      <c r="D30" s="36" t="s">
        <v>800</v>
      </c>
      <c r="E30" s="36" t="s">
        <v>825</v>
      </c>
      <c r="F30" s="215" t="s">
        <v>826</v>
      </c>
      <c r="G30" s="36"/>
      <c r="H30" s="36"/>
      <c r="I30" s="220">
        <v>40929.14</v>
      </c>
      <c r="J30" s="215"/>
      <c r="K30" s="170" t="s">
        <v>84</v>
      </c>
      <c r="L30" s="89"/>
      <c r="M30" s="89"/>
      <c r="N30" s="89"/>
      <c r="O30" s="175"/>
      <c r="R30" s="184" t="s">
        <v>783</v>
      </c>
      <c r="S30" s="185" cm="1">
        <f t="array" ref="S30">SUMPRODUCT(ABS(J4:J2379))</f>
        <v>0</v>
      </c>
    </row>
    <row r="31" spans="1:24" ht="15" customHeight="1" x14ac:dyDescent="0.25">
      <c r="A31" s="87" t="s">
        <v>809</v>
      </c>
      <c r="B31" s="36" t="s">
        <v>810</v>
      </c>
      <c r="C31" s="39">
        <v>2010</v>
      </c>
      <c r="D31" s="36" t="s">
        <v>800</v>
      </c>
      <c r="E31" s="36" t="s">
        <v>825</v>
      </c>
      <c r="F31" s="38" t="s">
        <v>826</v>
      </c>
      <c r="G31" s="36"/>
      <c r="H31" s="36"/>
      <c r="I31" s="220">
        <v>18007.96</v>
      </c>
      <c r="J31" s="215"/>
      <c r="K31" s="170" t="s">
        <v>84</v>
      </c>
      <c r="L31" s="89"/>
      <c r="M31" s="89"/>
      <c r="N31" s="89"/>
      <c r="O31" s="175"/>
      <c r="R31" s="186" t="s">
        <v>781</v>
      </c>
      <c r="S31" s="187">
        <f>SUMIFS($I$4:$I$50000,$I$4:$I$50000,"&lt;&gt;",$K$4:$K$50000,"")</f>
        <v>0</v>
      </c>
    </row>
    <row r="32" spans="1:24" ht="15" customHeight="1" x14ac:dyDescent="0.25">
      <c r="A32" s="87" t="s">
        <v>803</v>
      </c>
      <c r="B32" s="39" t="s">
        <v>804</v>
      </c>
      <c r="C32" s="39">
        <v>2010</v>
      </c>
      <c r="D32" s="36" t="s">
        <v>800</v>
      </c>
      <c r="E32" s="36" t="s">
        <v>827</v>
      </c>
      <c r="F32" s="215" t="s">
        <v>828</v>
      </c>
      <c r="G32" s="36"/>
      <c r="H32" s="36"/>
      <c r="I32" s="220">
        <v>63946.21</v>
      </c>
      <c r="J32" s="215"/>
      <c r="K32" s="170" t="s">
        <v>84</v>
      </c>
      <c r="L32" s="89"/>
      <c r="M32" s="89"/>
      <c r="N32" s="89"/>
      <c r="O32" s="175"/>
    </row>
    <row r="33" spans="1:19" ht="15" customHeight="1" x14ac:dyDescent="0.25">
      <c r="A33" s="87" t="s">
        <v>805</v>
      </c>
      <c r="B33" s="39" t="s">
        <v>806</v>
      </c>
      <c r="C33" s="39">
        <v>2010</v>
      </c>
      <c r="D33" s="36" t="s">
        <v>800</v>
      </c>
      <c r="E33" s="36" t="s">
        <v>827</v>
      </c>
      <c r="F33" s="38" t="s">
        <v>828</v>
      </c>
      <c r="G33" s="36"/>
      <c r="H33" s="36"/>
      <c r="I33" s="220">
        <v>4106.92</v>
      </c>
      <c r="J33" s="215"/>
      <c r="K33" s="170" t="s">
        <v>84</v>
      </c>
      <c r="L33" s="89"/>
      <c r="M33" s="89"/>
      <c r="N33" s="89"/>
      <c r="O33" s="175"/>
      <c r="R33" s="188" t="s">
        <v>777</v>
      </c>
      <c r="S33" s="189">
        <f>-1*(SUMIFS(Gruppering201[Korrigert beløp som brukes i beregningen],Gruppering201[Gruppering 201*],"7. Matpenger (innbetalte kostpenger)")/(SUM('4. Selvkost og satser'!$B$48:$B$49)))</f>
        <v>3853.8213019508235</v>
      </c>
    </row>
    <row r="34" spans="1:19" ht="15" customHeight="1" x14ac:dyDescent="0.25">
      <c r="A34" s="87" t="s">
        <v>807</v>
      </c>
      <c r="B34" s="36" t="s">
        <v>808</v>
      </c>
      <c r="C34" s="39">
        <v>2010</v>
      </c>
      <c r="D34" s="36" t="s">
        <v>800</v>
      </c>
      <c r="E34" s="36" t="s">
        <v>827</v>
      </c>
      <c r="F34" s="38" t="s">
        <v>828</v>
      </c>
      <c r="G34" s="36"/>
      <c r="H34" s="36"/>
      <c r="I34" s="220">
        <v>17718.13</v>
      </c>
      <c r="J34" s="215"/>
      <c r="K34" s="170" t="s">
        <v>84</v>
      </c>
      <c r="L34" s="89"/>
      <c r="M34" s="89"/>
      <c r="N34" s="89"/>
      <c r="O34" s="175"/>
      <c r="R34" s="182" t="s">
        <v>98</v>
      </c>
    </row>
    <row r="35" spans="1:19" ht="15" customHeight="1" x14ac:dyDescent="0.25">
      <c r="A35" s="87" t="s">
        <v>811</v>
      </c>
      <c r="B35" s="33" t="s">
        <v>812</v>
      </c>
      <c r="C35" s="35">
        <v>2010</v>
      </c>
      <c r="D35" s="33" t="s">
        <v>800</v>
      </c>
      <c r="E35" s="33" t="s">
        <v>827</v>
      </c>
      <c r="F35" s="34" t="s">
        <v>828</v>
      </c>
      <c r="G35" s="33"/>
      <c r="H35" s="33"/>
      <c r="I35" s="221">
        <v>6346.99</v>
      </c>
      <c r="J35" s="215"/>
      <c r="K35" s="170" t="s">
        <v>84</v>
      </c>
      <c r="L35" s="89"/>
      <c r="M35" s="89"/>
      <c r="N35" s="89"/>
      <c r="O35" s="175"/>
    </row>
    <row r="36" spans="1:19" ht="15" customHeight="1" x14ac:dyDescent="0.25">
      <c r="A36" s="87" t="s">
        <v>815</v>
      </c>
      <c r="B36" s="33" t="s">
        <v>816</v>
      </c>
      <c r="C36" s="35">
        <v>2010</v>
      </c>
      <c r="D36" s="33" t="s">
        <v>800</v>
      </c>
      <c r="E36" s="33" t="s">
        <v>827</v>
      </c>
      <c r="F36" s="34" t="s">
        <v>828</v>
      </c>
      <c r="G36" s="33"/>
      <c r="H36" s="33"/>
      <c r="I36" s="221">
        <v>1859.46</v>
      </c>
      <c r="J36" s="215"/>
      <c r="K36" s="170" t="s">
        <v>95</v>
      </c>
      <c r="L36" s="89"/>
      <c r="M36" s="89"/>
      <c r="N36" s="89"/>
      <c r="O36" s="175"/>
    </row>
    <row r="37" spans="1:19" ht="15" customHeight="1" x14ac:dyDescent="0.25">
      <c r="A37" s="87" t="s">
        <v>803</v>
      </c>
      <c r="B37" s="39" t="s">
        <v>804</v>
      </c>
      <c r="C37" s="39">
        <v>2010</v>
      </c>
      <c r="D37" s="36" t="s">
        <v>800</v>
      </c>
      <c r="E37" s="36" t="s">
        <v>829</v>
      </c>
      <c r="F37" s="215" t="s">
        <v>96</v>
      </c>
      <c r="G37" s="36"/>
      <c r="H37" s="36"/>
      <c r="I37" s="220">
        <v>58445.49</v>
      </c>
      <c r="J37" s="215"/>
      <c r="K37" s="170" t="s">
        <v>96</v>
      </c>
      <c r="L37" s="89"/>
      <c r="M37" s="89"/>
      <c r="N37" s="89"/>
      <c r="O37" s="175"/>
    </row>
    <row r="38" spans="1:19" ht="15" customHeight="1" x14ac:dyDescent="0.25">
      <c r="A38" s="87" t="s">
        <v>805</v>
      </c>
      <c r="B38" s="39" t="s">
        <v>806</v>
      </c>
      <c r="C38" s="39">
        <v>2010</v>
      </c>
      <c r="D38" s="36" t="s">
        <v>800</v>
      </c>
      <c r="E38" s="36" t="s">
        <v>829</v>
      </c>
      <c r="F38" s="38" t="s">
        <v>96</v>
      </c>
      <c r="G38" s="36"/>
      <c r="H38" s="36"/>
      <c r="I38" s="220">
        <v>107391.84</v>
      </c>
      <c r="J38" s="215"/>
      <c r="K38" s="170" t="s">
        <v>96</v>
      </c>
      <c r="L38" s="89"/>
      <c r="M38" s="89"/>
      <c r="N38" s="89"/>
      <c r="O38" s="175"/>
    </row>
    <row r="39" spans="1:19" ht="15" customHeight="1" x14ac:dyDescent="0.25">
      <c r="A39" s="87" t="s">
        <v>809</v>
      </c>
      <c r="B39" s="36" t="s">
        <v>810</v>
      </c>
      <c r="C39" s="39">
        <v>2010</v>
      </c>
      <c r="D39" s="36" t="s">
        <v>800</v>
      </c>
      <c r="E39" s="36" t="s">
        <v>829</v>
      </c>
      <c r="F39" s="38" t="s">
        <v>96</v>
      </c>
      <c r="G39" s="36"/>
      <c r="H39" s="36"/>
      <c r="I39" s="220">
        <v>101244.07</v>
      </c>
      <c r="J39" s="215"/>
      <c r="K39" s="170" t="s">
        <v>96</v>
      </c>
      <c r="L39" s="89"/>
      <c r="M39" s="89"/>
      <c r="N39" s="89"/>
      <c r="O39" s="175"/>
    </row>
    <row r="40" spans="1:19" ht="15" customHeight="1" x14ac:dyDescent="0.25">
      <c r="A40" s="87" t="s">
        <v>811</v>
      </c>
      <c r="B40" s="33" t="s">
        <v>812</v>
      </c>
      <c r="C40" s="35">
        <v>2010</v>
      </c>
      <c r="D40" s="33" t="s">
        <v>800</v>
      </c>
      <c r="E40" s="33" t="s">
        <v>829</v>
      </c>
      <c r="F40" s="34" t="s">
        <v>96</v>
      </c>
      <c r="G40" s="33"/>
      <c r="H40" s="33"/>
      <c r="I40" s="221">
        <v>105940.9</v>
      </c>
      <c r="J40" s="215"/>
      <c r="K40" s="170" t="s">
        <v>96</v>
      </c>
      <c r="L40" s="89"/>
      <c r="M40" s="89"/>
      <c r="N40" s="89"/>
      <c r="O40" s="175"/>
    </row>
    <row r="41" spans="1:19" ht="15" customHeight="1" x14ac:dyDescent="0.25">
      <c r="A41" s="87" t="s">
        <v>803</v>
      </c>
      <c r="B41" s="39" t="s">
        <v>804</v>
      </c>
      <c r="C41" s="39">
        <v>2010</v>
      </c>
      <c r="D41" s="36" t="s">
        <v>800</v>
      </c>
      <c r="E41" s="36" t="s">
        <v>830</v>
      </c>
      <c r="F41" s="215" t="s">
        <v>831</v>
      </c>
      <c r="G41" s="36"/>
      <c r="H41" s="36"/>
      <c r="I41" s="220">
        <v>6588</v>
      </c>
      <c r="J41" s="215"/>
      <c r="K41" s="170" t="s">
        <v>84</v>
      </c>
      <c r="L41" s="89"/>
      <c r="M41" s="89"/>
      <c r="N41" s="89"/>
      <c r="O41" s="175"/>
    </row>
    <row r="42" spans="1:19" ht="15" customHeight="1" x14ac:dyDescent="0.25">
      <c r="A42" s="87" t="s">
        <v>805</v>
      </c>
      <c r="B42" s="39" t="s">
        <v>806</v>
      </c>
      <c r="C42" s="39">
        <v>2010</v>
      </c>
      <c r="D42" s="36" t="s">
        <v>800</v>
      </c>
      <c r="E42" s="36" t="s">
        <v>830</v>
      </c>
      <c r="F42" s="38" t="s">
        <v>831</v>
      </c>
      <c r="G42" s="36"/>
      <c r="H42" s="36"/>
      <c r="I42" s="220">
        <v>4392</v>
      </c>
      <c r="J42" s="215"/>
      <c r="K42" s="170" t="s">
        <v>84</v>
      </c>
      <c r="L42" s="89"/>
      <c r="M42" s="89"/>
      <c r="N42" s="89"/>
      <c r="O42" s="175"/>
    </row>
    <row r="43" spans="1:19" ht="15" customHeight="1" x14ac:dyDescent="0.25">
      <c r="A43" s="87" t="s">
        <v>807</v>
      </c>
      <c r="B43" s="36" t="s">
        <v>808</v>
      </c>
      <c r="C43" s="39">
        <v>2010</v>
      </c>
      <c r="D43" s="36" t="s">
        <v>800</v>
      </c>
      <c r="E43" s="36" t="s">
        <v>830</v>
      </c>
      <c r="F43" s="38" t="s">
        <v>831</v>
      </c>
      <c r="G43" s="36"/>
      <c r="H43" s="36"/>
      <c r="I43" s="220">
        <v>4392</v>
      </c>
      <c r="J43" s="215"/>
      <c r="K43" s="170" t="s">
        <v>84</v>
      </c>
      <c r="L43" s="89"/>
      <c r="M43" s="89"/>
      <c r="N43" s="89"/>
      <c r="O43" s="175"/>
    </row>
    <row r="44" spans="1:19" ht="15" customHeight="1" x14ac:dyDescent="0.25">
      <c r="A44" s="87" t="s">
        <v>809</v>
      </c>
      <c r="B44" s="36" t="s">
        <v>810</v>
      </c>
      <c r="C44" s="39">
        <v>2010</v>
      </c>
      <c r="D44" s="36" t="s">
        <v>800</v>
      </c>
      <c r="E44" s="36" t="s">
        <v>830</v>
      </c>
      <c r="F44" s="38" t="s">
        <v>831</v>
      </c>
      <c r="G44" s="36"/>
      <c r="H44" s="36"/>
      <c r="I44" s="220">
        <v>4392</v>
      </c>
      <c r="J44" s="215"/>
      <c r="K44" s="170" t="s">
        <v>84</v>
      </c>
      <c r="L44" s="89"/>
      <c r="M44" s="89"/>
      <c r="N44" s="89"/>
      <c r="O44" s="175"/>
    </row>
    <row r="45" spans="1:19" ht="15" customHeight="1" x14ac:dyDescent="0.25">
      <c r="A45" s="87" t="s">
        <v>811</v>
      </c>
      <c r="B45" s="33" t="s">
        <v>812</v>
      </c>
      <c r="C45" s="35">
        <v>2010</v>
      </c>
      <c r="D45" s="33" t="s">
        <v>800</v>
      </c>
      <c r="E45" s="33" t="s">
        <v>830</v>
      </c>
      <c r="F45" s="34" t="s">
        <v>831</v>
      </c>
      <c r="G45" s="33"/>
      <c r="H45" s="33"/>
      <c r="I45" s="221">
        <v>4392</v>
      </c>
      <c r="J45" s="215"/>
      <c r="K45" s="170" t="s">
        <v>84</v>
      </c>
      <c r="L45" s="89"/>
      <c r="M45" s="89"/>
      <c r="N45" s="89"/>
      <c r="O45" s="175"/>
    </row>
    <row r="46" spans="1:19" ht="15" customHeight="1" x14ac:dyDescent="0.25">
      <c r="A46" s="87" t="s">
        <v>798</v>
      </c>
      <c r="B46" s="39" t="s">
        <v>799</v>
      </c>
      <c r="C46" s="39">
        <v>2010</v>
      </c>
      <c r="D46" s="36" t="s">
        <v>800</v>
      </c>
      <c r="E46" s="36" t="s">
        <v>830</v>
      </c>
      <c r="F46" s="215" t="s">
        <v>831</v>
      </c>
      <c r="G46" s="36"/>
      <c r="H46" s="36"/>
      <c r="I46" s="220">
        <v>10614</v>
      </c>
      <c r="J46" s="215"/>
      <c r="K46" s="170" t="s">
        <v>87</v>
      </c>
      <c r="L46" s="89"/>
      <c r="M46" s="89"/>
      <c r="N46" s="89"/>
      <c r="O46" s="175"/>
    </row>
    <row r="47" spans="1:19" ht="15" customHeight="1" x14ac:dyDescent="0.25">
      <c r="A47" s="87" t="s">
        <v>803</v>
      </c>
      <c r="B47" s="39" t="s">
        <v>804</v>
      </c>
      <c r="C47" s="39">
        <v>2010</v>
      </c>
      <c r="D47" s="36" t="s">
        <v>800</v>
      </c>
      <c r="E47" s="36" t="s">
        <v>832</v>
      </c>
      <c r="F47" s="215" t="s">
        <v>833</v>
      </c>
      <c r="G47" s="36"/>
      <c r="H47" s="36"/>
      <c r="I47" s="220">
        <v>482.3</v>
      </c>
      <c r="J47" s="215"/>
      <c r="K47" s="170" t="s">
        <v>84</v>
      </c>
      <c r="L47" s="89"/>
      <c r="M47" s="89"/>
      <c r="N47" s="89"/>
      <c r="O47" s="175"/>
    </row>
    <row r="48" spans="1:19" ht="15" customHeight="1" x14ac:dyDescent="0.25">
      <c r="A48" s="87" t="s">
        <v>805</v>
      </c>
      <c r="B48" s="39" t="s">
        <v>806</v>
      </c>
      <c r="C48" s="39">
        <v>2010</v>
      </c>
      <c r="D48" s="36" t="s">
        <v>800</v>
      </c>
      <c r="E48" s="36" t="s">
        <v>832</v>
      </c>
      <c r="F48" s="38" t="s">
        <v>833</v>
      </c>
      <c r="G48" s="36"/>
      <c r="H48" s="36"/>
      <c r="I48" s="220">
        <v>1015.9</v>
      </c>
      <c r="J48" s="215"/>
      <c r="K48" s="170" t="s">
        <v>84</v>
      </c>
      <c r="L48" s="89"/>
      <c r="M48" s="89"/>
      <c r="N48" s="89"/>
      <c r="O48" s="175"/>
    </row>
    <row r="49" spans="1:15" ht="15" customHeight="1" x14ac:dyDescent="0.25">
      <c r="A49" s="87" t="s">
        <v>807</v>
      </c>
      <c r="B49" s="36" t="s">
        <v>808</v>
      </c>
      <c r="C49" s="39">
        <v>2010</v>
      </c>
      <c r="D49" s="36" t="s">
        <v>800</v>
      </c>
      <c r="E49" s="36" t="s">
        <v>832</v>
      </c>
      <c r="F49" s="38" t="s">
        <v>833</v>
      </c>
      <c r="G49" s="36"/>
      <c r="H49" s="36"/>
      <c r="I49" s="220">
        <v>990.76</v>
      </c>
      <c r="J49" s="215"/>
      <c r="K49" s="170" t="s">
        <v>84</v>
      </c>
      <c r="L49" s="89"/>
      <c r="M49" s="89"/>
      <c r="N49" s="89"/>
      <c r="O49" s="175"/>
    </row>
    <row r="50" spans="1:15" ht="15" customHeight="1" x14ac:dyDescent="0.25">
      <c r="A50" s="87" t="s">
        <v>809</v>
      </c>
      <c r="B50" s="36" t="s">
        <v>810</v>
      </c>
      <c r="C50" s="39">
        <v>2010</v>
      </c>
      <c r="D50" s="36" t="s">
        <v>800</v>
      </c>
      <c r="E50" s="36" t="s">
        <v>832</v>
      </c>
      <c r="F50" s="38" t="s">
        <v>833</v>
      </c>
      <c r="G50" s="36"/>
      <c r="H50" s="36"/>
      <c r="I50" s="220">
        <v>799.33</v>
      </c>
      <c r="J50" s="215"/>
      <c r="K50" s="170" t="s">
        <v>84</v>
      </c>
      <c r="L50" s="89"/>
      <c r="M50" s="89"/>
      <c r="N50" s="89"/>
      <c r="O50" s="175"/>
    </row>
    <row r="51" spans="1:15" ht="15" customHeight="1" x14ac:dyDescent="0.25">
      <c r="A51" s="87" t="s">
        <v>834</v>
      </c>
      <c r="B51" s="33" t="s">
        <v>835</v>
      </c>
      <c r="C51" s="35">
        <v>2010</v>
      </c>
      <c r="D51" s="33" t="s">
        <v>800</v>
      </c>
      <c r="E51" s="33" t="s">
        <v>832</v>
      </c>
      <c r="F51" s="34" t="s">
        <v>833</v>
      </c>
      <c r="G51" s="33"/>
      <c r="H51" s="33"/>
      <c r="I51" s="221">
        <v>17.399999999999999</v>
      </c>
      <c r="J51" s="215"/>
      <c r="K51" s="170" t="s">
        <v>84</v>
      </c>
      <c r="L51" s="89"/>
      <c r="M51" s="89"/>
      <c r="N51" s="89"/>
      <c r="O51" s="175"/>
    </row>
    <row r="52" spans="1:15" ht="15" customHeight="1" x14ac:dyDescent="0.25">
      <c r="A52" s="87" t="s">
        <v>798</v>
      </c>
      <c r="B52" s="39" t="s">
        <v>799</v>
      </c>
      <c r="C52" s="39">
        <v>2010</v>
      </c>
      <c r="D52" s="36" t="s">
        <v>800</v>
      </c>
      <c r="E52" s="36" t="s">
        <v>832</v>
      </c>
      <c r="F52" s="215" t="s">
        <v>833</v>
      </c>
      <c r="G52" s="36"/>
      <c r="H52" s="36"/>
      <c r="I52" s="220">
        <v>1883.17</v>
      </c>
      <c r="J52" s="215"/>
      <c r="K52" s="170" t="s">
        <v>87</v>
      </c>
      <c r="L52" s="89"/>
      <c r="M52" s="89"/>
      <c r="N52" s="89"/>
      <c r="O52" s="175"/>
    </row>
    <row r="53" spans="1:15" ht="15" customHeight="1" x14ac:dyDescent="0.25">
      <c r="A53" s="87" t="s">
        <v>834</v>
      </c>
      <c r="B53" s="33" t="s">
        <v>835</v>
      </c>
      <c r="C53" s="35">
        <v>2010</v>
      </c>
      <c r="D53" s="33" t="s">
        <v>800</v>
      </c>
      <c r="E53" s="33" t="s">
        <v>836</v>
      </c>
      <c r="F53" s="34" t="s">
        <v>837</v>
      </c>
      <c r="G53" s="33"/>
      <c r="H53" s="33"/>
      <c r="I53" s="221">
        <v>1208.29</v>
      </c>
      <c r="J53" s="215"/>
      <c r="K53" s="170" t="s">
        <v>84</v>
      </c>
      <c r="L53" s="89"/>
      <c r="M53" s="89"/>
      <c r="N53" s="89"/>
      <c r="O53" s="175"/>
    </row>
    <row r="54" spans="1:15" ht="15" customHeight="1" x14ac:dyDescent="0.25">
      <c r="A54" s="87" t="s">
        <v>803</v>
      </c>
      <c r="B54" s="39" t="s">
        <v>804</v>
      </c>
      <c r="C54" s="39">
        <v>2010</v>
      </c>
      <c r="D54" s="36" t="s">
        <v>800</v>
      </c>
      <c r="E54" s="36" t="s">
        <v>838</v>
      </c>
      <c r="F54" s="215" t="s">
        <v>839</v>
      </c>
      <c r="G54" s="36"/>
      <c r="H54" s="36"/>
      <c r="I54" s="220">
        <v>2516</v>
      </c>
      <c r="J54" s="215"/>
      <c r="K54" s="170" t="s">
        <v>84</v>
      </c>
      <c r="L54" s="89"/>
      <c r="M54" s="89"/>
      <c r="N54" s="89"/>
      <c r="O54" s="175"/>
    </row>
    <row r="55" spans="1:15" ht="15" customHeight="1" x14ac:dyDescent="0.25">
      <c r="A55" s="87" t="s">
        <v>805</v>
      </c>
      <c r="B55" s="39" t="s">
        <v>806</v>
      </c>
      <c r="C55" s="39">
        <v>2010</v>
      </c>
      <c r="D55" s="36" t="s">
        <v>800</v>
      </c>
      <c r="E55" s="36" t="s">
        <v>838</v>
      </c>
      <c r="F55" s="38" t="s">
        <v>839</v>
      </c>
      <c r="G55" s="36"/>
      <c r="H55" s="36"/>
      <c r="I55" s="220">
        <v>3774</v>
      </c>
      <c r="J55" s="215"/>
      <c r="K55" s="170" t="s">
        <v>84</v>
      </c>
      <c r="L55" s="89"/>
      <c r="M55" s="89"/>
      <c r="N55" s="89"/>
      <c r="O55" s="175"/>
    </row>
    <row r="56" spans="1:15" ht="15" customHeight="1" x14ac:dyDescent="0.25">
      <c r="A56" s="87" t="s">
        <v>803</v>
      </c>
      <c r="B56" s="39" t="s">
        <v>804</v>
      </c>
      <c r="C56" s="39">
        <v>2010</v>
      </c>
      <c r="D56" s="36" t="s">
        <v>800</v>
      </c>
      <c r="E56" s="36" t="s">
        <v>840</v>
      </c>
      <c r="F56" s="215" t="s">
        <v>841</v>
      </c>
      <c r="G56" s="36"/>
      <c r="H56" s="36"/>
      <c r="I56" s="220">
        <v>2422905.02</v>
      </c>
      <c r="J56" s="215"/>
      <c r="K56" s="170" t="s">
        <v>85</v>
      </c>
      <c r="L56" s="89"/>
      <c r="M56" s="89"/>
      <c r="N56" s="89"/>
      <c r="O56" s="175"/>
    </row>
    <row r="57" spans="1:15" ht="15" customHeight="1" x14ac:dyDescent="0.25">
      <c r="A57" s="87" t="s">
        <v>805</v>
      </c>
      <c r="B57" s="39" t="s">
        <v>806</v>
      </c>
      <c r="C57" s="39">
        <v>2010</v>
      </c>
      <c r="D57" s="36" t="s">
        <v>800</v>
      </c>
      <c r="E57" s="36" t="s">
        <v>840</v>
      </c>
      <c r="F57" s="38" t="s">
        <v>841</v>
      </c>
      <c r="G57" s="36"/>
      <c r="H57" s="36"/>
      <c r="I57" s="220">
        <v>1221183.8</v>
      </c>
      <c r="J57" s="215"/>
      <c r="K57" s="170" t="s">
        <v>85</v>
      </c>
      <c r="L57" s="89"/>
      <c r="M57" s="89"/>
      <c r="N57" s="89"/>
      <c r="O57" s="175"/>
    </row>
    <row r="58" spans="1:15" ht="15" customHeight="1" x14ac:dyDescent="0.25">
      <c r="A58" s="87" t="s">
        <v>807</v>
      </c>
      <c r="B58" s="36" t="s">
        <v>808</v>
      </c>
      <c r="C58" s="39">
        <v>2010</v>
      </c>
      <c r="D58" s="36" t="s">
        <v>800</v>
      </c>
      <c r="E58" s="36" t="s">
        <v>840</v>
      </c>
      <c r="F58" s="38" t="s">
        <v>841</v>
      </c>
      <c r="G58" s="36"/>
      <c r="H58" s="36"/>
      <c r="I58" s="220">
        <v>1712301.64</v>
      </c>
      <c r="J58" s="215"/>
      <c r="K58" s="170" t="s">
        <v>85</v>
      </c>
      <c r="L58" s="89"/>
      <c r="M58" s="89"/>
      <c r="N58" s="89"/>
      <c r="O58" s="175"/>
    </row>
    <row r="59" spans="1:15" ht="15" customHeight="1" x14ac:dyDescent="0.25">
      <c r="A59" s="87" t="s">
        <v>809</v>
      </c>
      <c r="B59" s="36" t="s">
        <v>810</v>
      </c>
      <c r="C59" s="39">
        <v>2010</v>
      </c>
      <c r="D59" s="36" t="s">
        <v>800</v>
      </c>
      <c r="E59" s="36" t="s">
        <v>840</v>
      </c>
      <c r="F59" s="38" t="s">
        <v>841</v>
      </c>
      <c r="G59" s="36"/>
      <c r="H59" s="36"/>
      <c r="I59" s="220">
        <v>1590866.17</v>
      </c>
      <c r="J59" s="215"/>
      <c r="K59" s="170" t="s">
        <v>85</v>
      </c>
      <c r="L59" s="89"/>
      <c r="M59" s="89"/>
      <c r="N59" s="89"/>
      <c r="O59" s="175"/>
    </row>
    <row r="60" spans="1:15" ht="15" customHeight="1" x14ac:dyDescent="0.25">
      <c r="A60" s="87" t="s">
        <v>811</v>
      </c>
      <c r="B60" s="33" t="s">
        <v>812</v>
      </c>
      <c r="C60" s="35">
        <v>2010</v>
      </c>
      <c r="D60" s="33" t="s">
        <v>800</v>
      </c>
      <c r="E60" s="33" t="s">
        <v>840</v>
      </c>
      <c r="F60" s="34" t="s">
        <v>841</v>
      </c>
      <c r="G60" s="33"/>
      <c r="H60" s="33"/>
      <c r="I60" s="221">
        <v>1904850.04</v>
      </c>
      <c r="J60" s="215"/>
      <c r="K60" s="170" t="s">
        <v>85</v>
      </c>
      <c r="L60" s="89"/>
      <c r="M60" s="89"/>
      <c r="N60" s="89"/>
      <c r="O60" s="175"/>
    </row>
    <row r="61" spans="1:15" ht="15" customHeight="1" x14ac:dyDescent="0.25">
      <c r="A61" s="87" t="s">
        <v>834</v>
      </c>
      <c r="B61" s="33" t="s">
        <v>835</v>
      </c>
      <c r="C61" s="35">
        <v>2010</v>
      </c>
      <c r="D61" s="33" t="s">
        <v>800</v>
      </c>
      <c r="E61" s="33" t="s">
        <v>840</v>
      </c>
      <c r="F61" s="34" t="s">
        <v>841</v>
      </c>
      <c r="G61" s="33"/>
      <c r="H61" s="33"/>
      <c r="I61" s="221">
        <v>123.16</v>
      </c>
      <c r="J61" s="215"/>
      <c r="K61" s="170" t="s">
        <v>85</v>
      </c>
      <c r="L61" s="89"/>
      <c r="M61" s="89"/>
      <c r="N61" s="89"/>
      <c r="O61" s="175"/>
    </row>
    <row r="62" spans="1:15" ht="15" customHeight="1" x14ac:dyDescent="0.25">
      <c r="A62" s="87" t="s">
        <v>798</v>
      </c>
      <c r="B62" s="39" t="s">
        <v>799</v>
      </c>
      <c r="C62" s="39">
        <v>2010</v>
      </c>
      <c r="D62" s="36" t="s">
        <v>800</v>
      </c>
      <c r="E62" s="36" t="s">
        <v>840</v>
      </c>
      <c r="F62" s="215" t="s">
        <v>841</v>
      </c>
      <c r="G62" s="36"/>
      <c r="H62" s="36"/>
      <c r="I62" s="220">
        <v>281497.59000000003</v>
      </c>
      <c r="J62" s="215"/>
      <c r="K62" s="170" t="s">
        <v>87</v>
      </c>
      <c r="L62" s="89"/>
      <c r="M62" s="89"/>
      <c r="N62" s="89"/>
      <c r="O62" s="175"/>
    </row>
    <row r="63" spans="1:15" ht="15" customHeight="1" x14ac:dyDescent="0.25">
      <c r="A63" s="87" t="s">
        <v>815</v>
      </c>
      <c r="B63" s="33" t="s">
        <v>816</v>
      </c>
      <c r="C63" s="35">
        <v>2010</v>
      </c>
      <c r="D63" s="33" t="s">
        <v>800</v>
      </c>
      <c r="E63" s="33" t="s">
        <v>840</v>
      </c>
      <c r="F63" s="34" t="s">
        <v>841</v>
      </c>
      <c r="G63" s="33"/>
      <c r="H63" s="33"/>
      <c r="I63" s="221">
        <v>1380.94</v>
      </c>
      <c r="J63" s="215"/>
      <c r="K63" s="170" t="s">
        <v>95</v>
      </c>
      <c r="L63" s="89"/>
      <c r="M63" s="89"/>
      <c r="N63" s="89"/>
      <c r="O63" s="175"/>
    </row>
    <row r="64" spans="1:15" ht="15" customHeight="1" x14ac:dyDescent="0.25">
      <c r="A64" s="87" t="s">
        <v>842</v>
      </c>
      <c r="B64" s="39" t="s">
        <v>843</v>
      </c>
      <c r="C64" s="39">
        <v>2010</v>
      </c>
      <c r="D64" s="36" t="s">
        <v>800</v>
      </c>
      <c r="E64" s="36" t="s">
        <v>844</v>
      </c>
      <c r="F64" s="215" t="s">
        <v>845</v>
      </c>
      <c r="G64" s="36"/>
      <c r="H64" s="36"/>
      <c r="I64" s="220">
        <v>21953</v>
      </c>
      <c r="J64" s="215"/>
      <c r="K64" s="170" t="s">
        <v>85</v>
      </c>
      <c r="L64" s="89"/>
      <c r="M64" s="89"/>
      <c r="N64" s="89"/>
      <c r="O64" s="175"/>
    </row>
    <row r="65" spans="1:15" ht="15" customHeight="1" x14ac:dyDescent="0.25">
      <c r="A65" s="87" t="s">
        <v>803</v>
      </c>
      <c r="B65" s="39" t="s">
        <v>804</v>
      </c>
      <c r="C65" s="39">
        <v>2010</v>
      </c>
      <c r="D65" s="36" t="s">
        <v>800</v>
      </c>
      <c r="E65" s="36" t="s">
        <v>846</v>
      </c>
      <c r="F65" s="215" t="s">
        <v>847</v>
      </c>
      <c r="G65" s="36"/>
      <c r="H65" s="36"/>
      <c r="I65" s="220">
        <v>39284.410000000003</v>
      </c>
      <c r="J65" s="215"/>
      <c r="K65" s="170" t="s">
        <v>88</v>
      </c>
      <c r="L65" s="91"/>
      <c r="M65" s="91"/>
      <c r="N65" s="91"/>
      <c r="O65" s="175"/>
    </row>
    <row r="66" spans="1:15" ht="15" customHeight="1" x14ac:dyDescent="0.25">
      <c r="A66" s="87" t="s">
        <v>805</v>
      </c>
      <c r="B66" s="39" t="s">
        <v>806</v>
      </c>
      <c r="C66" s="39">
        <v>2010</v>
      </c>
      <c r="D66" s="36" t="s">
        <v>800</v>
      </c>
      <c r="E66" s="36" t="s">
        <v>846</v>
      </c>
      <c r="F66" s="38" t="s">
        <v>847</v>
      </c>
      <c r="G66" s="36"/>
      <c r="H66" s="36"/>
      <c r="I66" s="220">
        <v>17927.36</v>
      </c>
      <c r="J66" s="215"/>
      <c r="K66" s="170" t="s">
        <v>88</v>
      </c>
      <c r="L66" s="89"/>
      <c r="M66" s="89"/>
      <c r="N66" s="89"/>
      <c r="O66" s="175"/>
    </row>
    <row r="67" spans="1:15" ht="15" customHeight="1" x14ac:dyDescent="0.25">
      <c r="A67" s="87" t="s">
        <v>807</v>
      </c>
      <c r="B67" s="36" t="s">
        <v>808</v>
      </c>
      <c r="C67" s="39">
        <v>2010</v>
      </c>
      <c r="D67" s="36" t="s">
        <v>800</v>
      </c>
      <c r="E67" s="36" t="s">
        <v>846</v>
      </c>
      <c r="F67" s="38" t="s">
        <v>847</v>
      </c>
      <c r="G67" s="36"/>
      <c r="H67" s="36"/>
      <c r="I67" s="220">
        <v>25267.53</v>
      </c>
      <c r="J67" s="215"/>
      <c r="K67" s="170" t="s">
        <v>88</v>
      </c>
      <c r="L67" s="89"/>
      <c r="M67" s="89"/>
      <c r="N67" s="89"/>
      <c r="O67" s="175"/>
    </row>
    <row r="68" spans="1:15" ht="15" customHeight="1" x14ac:dyDescent="0.25">
      <c r="A68" s="87" t="s">
        <v>809</v>
      </c>
      <c r="B68" s="36" t="s">
        <v>810</v>
      </c>
      <c r="C68" s="39">
        <v>2010</v>
      </c>
      <c r="D68" s="36" t="s">
        <v>800</v>
      </c>
      <c r="E68" s="36" t="s">
        <v>846</v>
      </c>
      <c r="F68" s="38" t="s">
        <v>847</v>
      </c>
      <c r="G68" s="36"/>
      <c r="H68" s="36"/>
      <c r="I68" s="220">
        <v>20877.21</v>
      </c>
      <c r="J68" s="215"/>
      <c r="K68" s="170" t="s">
        <v>88</v>
      </c>
      <c r="L68" s="89"/>
      <c r="M68" s="89"/>
      <c r="N68" s="89"/>
      <c r="O68" s="175"/>
    </row>
    <row r="69" spans="1:15" ht="15" customHeight="1" x14ac:dyDescent="0.25">
      <c r="A69" s="87" t="s">
        <v>811</v>
      </c>
      <c r="B69" s="33" t="s">
        <v>812</v>
      </c>
      <c r="C69" s="35">
        <v>2010</v>
      </c>
      <c r="D69" s="33" t="s">
        <v>800</v>
      </c>
      <c r="E69" s="33" t="s">
        <v>846</v>
      </c>
      <c r="F69" s="34" t="s">
        <v>847</v>
      </c>
      <c r="G69" s="33"/>
      <c r="H69" s="33"/>
      <c r="I69" s="221">
        <v>30056.73</v>
      </c>
      <c r="J69" s="215"/>
      <c r="K69" s="170" t="s">
        <v>88</v>
      </c>
      <c r="L69" s="89"/>
      <c r="M69" s="89"/>
      <c r="N69" s="89"/>
      <c r="O69" s="175"/>
    </row>
    <row r="70" spans="1:15" ht="15" customHeight="1" x14ac:dyDescent="0.25">
      <c r="A70" s="87" t="s">
        <v>798</v>
      </c>
      <c r="B70" s="39" t="s">
        <v>799</v>
      </c>
      <c r="C70" s="39">
        <v>2010</v>
      </c>
      <c r="D70" s="36" t="s">
        <v>800</v>
      </c>
      <c r="E70" s="36" t="s">
        <v>846</v>
      </c>
      <c r="F70" s="215" t="s">
        <v>847</v>
      </c>
      <c r="G70" s="36"/>
      <c r="H70" s="36"/>
      <c r="I70" s="220">
        <v>2064.85</v>
      </c>
      <c r="J70" s="215"/>
      <c r="K70" s="170" t="s">
        <v>87</v>
      </c>
      <c r="L70" s="89"/>
      <c r="M70" s="89"/>
      <c r="N70" s="89"/>
      <c r="O70" s="175"/>
    </row>
    <row r="71" spans="1:15" ht="15" customHeight="1" x14ac:dyDescent="0.25">
      <c r="A71" s="87" t="s">
        <v>842</v>
      </c>
      <c r="B71" s="39" t="s">
        <v>843</v>
      </c>
      <c r="C71" s="39">
        <v>2010</v>
      </c>
      <c r="D71" s="36" t="s">
        <v>800</v>
      </c>
      <c r="E71" s="36" t="s">
        <v>848</v>
      </c>
      <c r="F71" s="215" t="s">
        <v>849</v>
      </c>
      <c r="G71" s="36"/>
      <c r="H71" s="36"/>
      <c r="I71" s="220">
        <v>8385365</v>
      </c>
      <c r="J71" s="215"/>
      <c r="K71" s="170" t="s">
        <v>85</v>
      </c>
      <c r="L71" s="89"/>
      <c r="M71" s="89"/>
      <c r="N71" s="89"/>
      <c r="O71" s="175"/>
    </row>
    <row r="72" spans="1:15" ht="15" customHeight="1" x14ac:dyDescent="0.25">
      <c r="A72" s="87" t="s">
        <v>803</v>
      </c>
      <c r="B72" s="39" t="s">
        <v>804</v>
      </c>
      <c r="C72" s="39">
        <v>2010</v>
      </c>
      <c r="D72" s="36" t="s">
        <v>800</v>
      </c>
      <c r="E72" s="36" t="s">
        <v>850</v>
      </c>
      <c r="F72" s="215" t="s">
        <v>116</v>
      </c>
      <c r="G72" s="36"/>
      <c r="H72" s="36"/>
      <c r="I72" s="220">
        <v>2764893.73</v>
      </c>
      <c r="J72" s="215"/>
      <c r="K72" s="170" t="s">
        <v>86</v>
      </c>
      <c r="L72" s="89"/>
      <c r="M72" s="89"/>
      <c r="N72" s="89"/>
      <c r="O72" s="175"/>
    </row>
    <row r="73" spans="1:15" ht="15" customHeight="1" x14ac:dyDescent="0.25">
      <c r="A73" s="87" t="s">
        <v>805</v>
      </c>
      <c r="B73" s="39" t="s">
        <v>806</v>
      </c>
      <c r="C73" s="39">
        <v>2010</v>
      </c>
      <c r="D73" s="36" t="s">
        <v>800</v>
      </c>
      <c r="E73" s="36" t="s">
        <v>850</v>
      </c>
      <c r="F73" s="38" t="s">
        <v>116</v>
      </c>
      <c r="G73" s="36"/>
      <c r="H73" s="36"/>
      <c r="I73" s="220">
        <v>1300072.26</v>
      </c>
      <c r="J73" s="215"/>
      <c r="K73" s="170" t="s">
        <v>86</v>
      </c>
      <c r="L73" s="89"/>
      <c r="M73" s="89"/>
      <c r="N73" s="89"/>
      <c r="O73" s="175"/>
    </row>
    <row r="74" spans="1:15" ht="15" customHeight="1" x14ac:dyDescent="0.25">
      <c r="A74" s="87" t="s">
        <v>807</v>
      </c>
      <c r="B74" s="36" t="s">
        <v>808</v>
      </c>
      <c r="C74" s="39">
        <v>2010</v>
      </c>
      <c r="D74" s="36" t="s">
        <v>800</v>
      </c>
      <c r="E74" s="36" t="s">
        <v>850</v>
      </c>
      <c r="F74" s="38" t="s">
        <v>116</v>
      </c>
      <c r="G74" s="36"/>
      <c r="H74" s="36"/>
      <c r="I74" s="220">
        <v>1913948.52</v>
      </c>
      <c r="J74" s="215"/>
      <c r="K74" s="170" t="s">
        <v>86</v>
      </c>
      <c r="L74" s="89"/>
      <c r="M74" s="89"/>
      <c r="N74" s="89"/>
      <c r="O74" s="175"/>
    </row>
    <row r="75" spans="1:15" ht="15" customHeight="1" x14ac:dyDescent="0.25">
      <c r="A75" s="87" t="s">
        <v>809</v>
      </c>
      <c r="B75" s="36" t="s">
        <v>810</v>
      </c>
      <c r="C75" s="39">
        <v>2010</v>
      </c>
      <c r="D75" s="36" t="s">
        <v>800</v>
      </c>
      <c r="E75" s="36" t="s">
        <v>850</v>
      </c>
      <c r="F75" s="38" t="s">
        <v>116</v>
      </c>
      <c r="G75" s="36"/>
      <c r="H75" s="36"/>
      <c r="I75" s="220">
        <v>1885025.17</v>
      </c>
      <c r="J75" s="215"/>
      <c r="K75" s="170" t="s">
        <v>86</v>
      </c>
      <c r="L75" s="89"/>
      <c r="M75" s="89"/>
      <c r="N75" s="89"/>
      <c r="O75" s="175"/>
    </row>
    <row r="76" spans="1:15" ht="15" customHeight="1" x14ac:dyDescent="0.25">
      <c r="A76" s="87" t="s">
        <v>811</v>
      </c>
      <c r="B76" s="33" t="s">
        <v>812</v>
      </c>
      <c r="C76" s="35">
        <v>2010</v>
      </c>
      <c r="D76" s="33" t="s">
        <v>800</v>
      </c>
      <c r="E76" s="33" t="s">
        <v>850</v>
      </c>
      <c r="F76" s="34" t="s">
        <v>116</v>
      </c>
      <c r="G76" s="33"/>
      <c r="H76" s="33"/>
      <c r="I76" s="221">
        <v>2194436.44</v>
      </c>
      <c r="J76" s="215"/>
      <c r="K76" s="170" t="s">
        <v>86</v>
      </c>
      <c r="L76" s="89"/>
      <c r="M76" s="89"/>
      <c r="N76" s="89"/>
      <c r="O76" s="175"/>
    </row>
    <row r="77" spans="1:15" ht="15" customHeight="1" x14ac:dyDescent="0.25">
      <c r="A77" s="87" t="s">
        <v>834</v>
      </c>
      <c r="B77" s="33" t="s">
        <v>835</v>
      </c>
      <c r="C77" s="35">
        <v>2010</v>
      </c>
      <c r="D77" s="33" t="s">
        <v>800</v>
      </c>
      <c r="E77" s="33" t="s">
        <v>850</v>
      </c>
      <c r="F77" s="34" t="s">
        <v>116</v>
      </c>
      <c r="G77" s="33"/>
      <c r="H77" s="33"/>
      <c r="I77" s="221">
        <v>190.19</v>
      </c>
      <c r="J77" s="215"/>
      <c r="K77" s="170" t="s">
        <v>86</v>
      </c>
      <c r="L77" s="89"/>
      <c r="M77" s="89"/>
      <c r="N77" s="89"/>
      <c r="O77" s="175"/>
    </row>
    <row r="78" spans="1:15" ht="15" customHeight="1" x14ac:dyDescent="0.25">
      <c r="A78" s="87" t="s">
        <v>798</v>
      </c>
      <c r="B78" s="39" t="s">
        <v>799</v>
      </c>
      <c r="C78" s="39">
        <v>2010</v>
      </c>
      <c r="D78" s="36" t="s">
        <v>800</v>
      </c>
      <c r="E78" s="36" t="s">
        <v>850</v>
      </c>
      <c r="F78" s="215" t="s">
        <v>116</v>
      </c>
      <c r="G78" s="36"/>
      <c r="H78" s="36"/>
      <c r="I78" s="220">
        <v>266202.63</v>
      </c>
      <c r="J78" s="215"/>
      <c r="K78" s="170" t="s">
        <v>87</v>
      </c>
      <c r="L78" s="89"/>
      <c r="M78" s="89"/>
      <c r="N78" s="89"/>
      <c r="O78" s="175"/>
    </row>
    <row r="79" spans="1:15" ht="15" customHeight="1" x14ac:dyDescent="0.25">
      <c r="A79" s="87" t="s">
        <v>815</v>
      </c>
      <c r="B79" s="33" t="s">
        <v>816</v>
      </c>
      <c r="C79" s="35">
        <v>2010</v>
      </c>
      <c r="D79" s="33" t="s">
        <v>800</v>
      </c>
      <c r="E79" s="33" t="s">
        <v>850</v>
      </c>
      <c r="F79" s="34" t="s">
        <v>116</v>
      </c>
      <c r="G79" s="33"/>
      <c r="H79" s="33"/>
      <c r="I79" s="221">
        <v>1914.82</v>
      </c>
      <c r="J79" s="215"/>
      <c r="K79" s="170" t="s">
        <v>95</v>
      </c>
      <c r="L79" s="89"/>
      <c r="M79" s="89"/>
      <c r="N79" s="89"/>
      <c r="O79" s="175"/>
    </row>
    <row r="80" spans="1:15" ht="15" customHeight="1" x14ac:dyDescent="0.25">
      <c r="A80" s="87" t="s">
        <v>842</v>
      </c>
      <c r="B80" s="39" t="s">
        <v>843</v>
      </c>
      <c r="C80" s="39">
        <v>2010</v>
      </c>
      <c r="D80" s="36" t="s">
        <v>800</v>
      </c>
      <c r="E80" s="36" t="s">
        <v>851</v>
      </c>
      <c r="F80" s="215" t="s">
        <v>852</v>
      </c>
      <c r="G80" s="36"/>
      <c r="H80" s="36"/>
      <c r="I80" s="220">
        <v>1182336</v>
      </c>
      <c r="J80" s="215"/>
      <c r="K80" s="170" t="s">
        <v>86</v>
      </c>
      <c r="L80" s="89"/>
      <c r="M80" s="89"/>
      <c r="N80" s="89"/>
      <c r="O80" s="175"/>
    </row>
    <row r="81" spans="1:15" ht="15" customHeight="1" x14ac:dyDescent="0.25">
      <c r="A81" s="87" t="s">
        <v>803</v>
      </c>
      <c r="B81" s="39" t="s">
        <v>804</v>
      </c>
      <c r="C81" s="39">
        <v>2010</v>
      </c>
      <c r="D81" s="36" t="s">
        <v>800</v>
      </c>
      <c r="E81" s="36" t="s">
        <v>853</v>
      </c>
      <c r="F81" s="215" t="s">
        <v>854</v>
      </c>
      <c r="G81" s="36"/>
      <c r="H81" s="36"/>
      <c r="I81" s="220">
        <v>18264.43</v>
      </c>
      <c r="J81" s="215"/>
      <c r="K81" s="170" t="s">
        <v>88</v>
      </c>
      <c r="L81" s="89"/>
      <c r="M81" s="89"/>
      <c r="N81" s="89"/>
      <c r="O81" s="175"/>
    </row>
    <row r="82" spans="1:15" ht="15" customHeight="1" x14ac:dyDescent="0.25">
      <c r="A82" s="87" t="s">
        <v>805</v>
      </c>
      <c r="B82" s="39" t="s">
        <v>806</v>
      </c>
      <c r="C82" s="39">
        <v>2010</v>
      </c>
      <c r="D82" s="36" t="s">
        <v>800</v>
      </c>
      <c r="E82" s="36" t="s">
        <v>853</v>
      </c>
      <c r="F82" s="38" t="s">
        <v>854</v>
      </c>
      <c r="G82" s="36"/>
      <c r="H82" s="36"/>
      <c r="I82" s="220">
        <v>8156.82</v>
      </c>
      <c r="J82" s="215"/>
      <c r="K82" s="170" t="s">
        <v>88</v>
      </c>
      <c r="L82" s="89"/>
      <c r="M82" s="89"/>
      <c r="N82" s="89"/>
      <c r="O82" s="175"/>
    </row>
    <row r="83" spans="1:15" ht="15" customHeight="1" x14ac:dyDescent="0.25">
      <c r="A83" s="87" t="s">
        <v>807</v>
      </c>
      <c r="B83" s="36" t="s">
        <v>808</v>
      </c>
      <c r="C83" s="39">
        <v>2010</v>
      </c>
      <c r="D83" s="36" t="s">
        <v>800</v>
      </c>
      <c r="E83" s="36" t="s">
        <v>853</v>
      </c>
      <c r="F83" s="38" t="s">
        <v>854</v>
      </c>
      <c r="G83" s="36"/>
      <c r="H83" s="36"/>
      <c r="I83" s="220">
        <v>571.6</v>
      </c>
      <c r="J83" s="215"/>
      <c r="K83" s="170" t="s">
        <v>88</v>
      </c>
      <c r="L83" s="89"/>
      <c r="M83" s="89"/>
      <c r="N83" s="89"/>
      <c r="O83" s="175"/>
    </row>
    <row r="84" spans="1:15" ht="15" customHeight="1" x14ac:dyDescent="0.25">
      <c r="A84" s="87" t="s">
        <v>809</v>
      </c>
      <c r="B84" s="36" t="s">
        <v>810</v>
      </c>
      <c r="C84" s="39">
        <v>2010</v>
      </c>
      <c r="D84" s="36" t="s">
        <v>800</v>
      </c>
      <c r="E84" s="36" t="s">
        <v>853</v>
      </c>
      <c r="F84" s="38" t="s">
        <v>854</v>
      </c>
      <c r="G84" s="36"/>
      <c r="H84" s="36"/>
      <c r="I84" s="220">
        <v>9443.1</v>
      </c>
      <c r="J84" s="215"/>
      <c r="K84" s="170" t="s">
        <v>88</v>
      </c>
      <c r="L84" s="89"/>
      <c r="M84" s="89"/>
      <c r="N84" s="89"/>
      <c r="O84" s="175"/>
    </row>
    <row r="85" spans="1:15" ht="15" customHeight="1" x14ac:dyDescent="0.25">
      <c r="A85" s="87" t="s">
        <v>811</v>
      </c>
      <c r="B85" s="33" t="s">
        <v>812</v>
      </c>
      <c r="C85" s="35">
        <v>2010</v>
      </c>
      <c r="D85" s="33" t="s">
        <v>800</v>
      </c>
      <c r="E85" s="33" t="s">
        <v>853</v>
      </c>
      <c r="F85" s="34" t="s">
        <v>854</v>
      </c>
      <c r="G85" s="33"/>
      <c r="H85" s="33"/>
      <c r="I85" s="221">
        <v>10639.9</v>
      </c>
      <c r="J85" s="215"/>
      <c r="K85" s="170" t="s">
        <v>88</v>
      </c>
      <c r="L85" s="89"/>
      <c r="M85" s="89"/>
      <c r="N85" s="89"/>
      <c r="O85" s="175"/>
    </row>
    <row r="86" spans="1:15" ht="15" customHeight="1" x14ac:dyDescent="0.25">
      <c r="A86" s="87" t="s">
        <v>798</v>
      </c>
      <c r="B86" s="39" t="s">
        <v>799</v>
      </c>
      <c r="C86" s="39">
        <v>2010</v>
      </c>
      <c r="D86" s="36" t="s">
        <v>800</v>
      </c>
      <c r="E86" s="36" t="s">
        <v>853</v>
      </c>
      <c r="F86" s="215" t="s">
        <v>854</v>
      </c>
      <c r="G86" s="36"/>
      <c r="H86" s="36"/>
      <c r="I86" s="220">
        <v>23.92</v>
      </c>
      <c r="J86" s="215"/>
      <c r="K86" s="170" t="s">
        <v>87</v>
      </c>
      <c r="L86" s="89"/>
      <c r="M86" s="89"/>
      <c r="N86" s="89"/>
      <c r="O86" s="175"/>
    </row>
    <row r="87" spans="1:15" ht="15" customHeight="1" x14ac:dyDescent="0.25">
      <c r="A87" s="87" t="s">
        <v>805</v>
      </c>
      <c r="B87" s="39" t="s">
        <v>806</v>
      </c>
      <c r="C87" s="39">
        <v>2010</v>
      </c>
      <c r="D87" s="36" t="s">
        <v>800</v>
      </c>
      <c r="E87" s="36" t="s">
        <v>855</v>
      </c>
      <c r="F87" s="38" t="s">
        <v>856</v>
      </c>
      <c r="G87" s="36"/>
      <c r="H87" s="36"/>
      <c r="I87" s="220">
        <v>4005.6</v>
      </c>
      <c r="J87" s="215"/>
      <c r="K87" s="170" t="s">
        <v>88</v>
      </c>
      <c r="L87" s="89"/>
      <c r="M87" s="89"/>
      <c r="N87" s="89"/>
      <c r="O87" s="175"/>
    </row>
    <row r="88" spans="1:15" ht="15" customHeight="1" x14ac:dyDescent="0.25">
      <c r="A88" s="87" t="s">
        <v>798</v>
      </c>
      <c r="B88" s="39" t="s">
        <v>799</v>
      </c>
      <c r="C88" s="39">
        <v>2010</v>
      </c>
      <c r="D88" s="36" t="s">
        <v>800</v>
      </c>
      <c r="E88" s="36" t="s">
        <v>855</v>
      </c>
      <c r="F88" s="215" t="s">
        <v>856</v>
      </c>
      <c r="G88" s="36"/>
      <c r="H88" s="36"/>
      <c r="I88" s="220">
        <v>2914.4</v>
      </c>
      <c r="J88" s="215"/>
      <c r="K88" s="170" t="s">
        <v>87</v>
      </c>
      <c r="L88" s="89"/>
      <c r="M88" s="89"/>
      <c r="N88" s="89"/>
      <c r="O88" s="175"/>
    </row>
    <row r="89" spans="1:15" ht="15" customHeight="1" x14ac:dyDescent="0.25">
      <c r="A89" s="87" t="s">
        <v>803</v>
      </c>
      <c r="B89" s="39" t="s">
        <v>804</v>
      </c>
      <c r="C89" s="39">
        <v>2010</v>
      </c>
      <c r="D89" s="36" t="s">
        <v>800</v>
      </c>
      <c r="E89" s="36" t="s">
        <v>857</v>
      </c>
      <c r="F89" s="215" t="s">
        <v>858</v>
      </c>
      <c r="G89" s="36"/>
      <c r="H89" s="36"/>
      <c r="I89" s="220">
        <v>41634.379999999997</v>
      </c>
      <c r="J89" s="215"/>
      <c r="K89" s="170" t="s">
        <v>88</v>
      </c>
      <c r="L89" s="89"/>
      <c r="M89" s="89"/>
      <c r="N89" s="89"/>
      <c r="O89" s="175"/>
    </row>
    <row r="90" spans="1:15" ht="15" customHeight="1" x14ac:dyDescent="0.25">
      <c r="A90" s="87" t="s">
        <v>805</v>
      </c>
      <c r="B90" s="39" t="s">
        <v>806</v>
      </c>
      <c r="C90" s="39">
        <v>2010</v>
      </c>
      <c r="D90" s="36" t="s">
        <v>800</v>
      </c>
      <c r="E90" s="36" t="s">
        <v>857</v>
      </c>
      <c r="F90" s="38" t="s">
        <v>858</v>
      </c>
      <c r="G90" s="36"/>
      <c r="H90" s="36"/>
      <c r="I90" s="220">
        <v>21605.1</v>
      </c>
      <c r="J90" s="215"/>
      <c r="K90" s="170" t="s">
        <v>88</v>
      </c>
      <c r="L90" s="89"/>
      <c r="M90" s="89"/>
      <c r="N90" s="89"/>
      <c r="O90" s="175"/>
    </row>
    <row r="91" spans="1:15" ht="15" customHeight="1" x14ac:dyDescent="0.25">
      <c r="A91" s="87" t="s">
        <v>807</v>
      </c>
      <c r="B91" s="36" t="s">
        <v>808</v>
      </c>
      <c r="C91" s="39">
        <v>2010</v>
      </c>
      <c r="D91" s="36" t="s">
        <v>800</v>
      </c>
      <c r="E91" s="36" t="s">
        <v>857</v>
      </c>
      <c r="F91" s="38" t="s">
        <v>858</v>
      </c>
      <c r="G91" s="36"/>
      <c r="H91" s="36"/>
      <c r="I91" s="220">
        <v>35898</v>
      </c>
      <c r="J91" s="215"/>
      <c r="K91" s="170" t="s">
        <v>88</v>
      </c>
      <c r="L91" s="89"/>
      <c r="M91" s="89"/>
      <c r="N91" s="89"/>
      <c r="O91" s="175"/>
    </row>
    <row r="92" spans="1:15" ht="15" customHeight="1" x14ac:dyDescent="0.25">
      <c r="A92" s="87" t="s">
        <v>809</v>
      </c>
      <c r="B92" s="36" t="s">
        <v>810</v>
      </c>
      <c r="C92" s="39">
        <v>2010</v>
      </c>
      <c r="D92" s="36" t="s">
        <v>800</v>
      </c>
      <c r="E92" s="36" t="s">
        <v>857</v>
      </c>
      <c r="F92" s="38" t="s">
        <v>858</v>
      </c>
      <c r="G92" s="36"/>
      <c r="H92" s="36"/>
      <c r="I92" s="220">
        <v>40806.699999999997</v>
      </c>
      <c r="J92" s="215"/>
      <c r="K92" s="170" t="s">
        <v>88</v>
      </c>
      <c r="L92" s="89"/>
      <c r="M92" s="89"/>
      <c r="N92" s="89"/>
      <c r="O92" s="175"/>
    </row>
    <row r="93" spans="1:15" ht="15" customHeight="1" x14ac:dyDescent="0.25">
      <c r="A93" s="87" t="s">
        <v>811</v>
      </c>
      <c r="B93" s="33" t="s">
        <v>812</v>
      </c>
      <c r="C93" s="35">
        <v>2010</v>
      </c>
      <c r="D93" s="33" t="s">
        <v>800</v>
      </c>
      <c r="E93" s="33" t="s">
        <v>857</v>
      </c>
      <c r="F93" s="34" t="s">
        <v>858</v>
      </c>
      <c r="G93" s="33"/>
      <c r="H93" s="33"/>
      <c r="I93" s="221">
        <v>33162.26</v>
      </c>
      <c r="J93" s="215"/>
      <c r="K93" s="170" t="s">
        <v>88</v>
      </c>
      <c r="L93" s="89"/>
      <c r="M93" s="89"/>
      <c r="N93" s="89"/>
      <c r="O93" s="175"/>
    </row>
    <row r="94" spans="1:15" ht="15" customHeight="1" x14ac:dyDescent="0.25">
      <c r="A94" s="87" t="s">
        <v>803</v>
      </c>
      <c r="B94" s="39" t="s">
        <v>804</v>
      </c>
      <c r="C94" s="39">
        <v>2010</v>
      </c>
      <c r="D94" s="36" t="s">
        <v>800</v>
      </c>
      <c r="E94" s="36" t="s">
        <v>859</v>
      </c>
      <c r="F94" s="215" t="s">
        <v>860</v>
      </c>
      <c r="G94" s="36"/>
      <c r="H94" s="36"/>
      <c r="I94" s="220">
        <v>21498.880000000001</v>
      </c>
      <c r="J94" s="215"/>
      <c r="K94" s="170" t="s">
        <v>88</v>
      </c>
      <c r="L94" s="89"/>
      <c r="M94" s="89"/>
      <c r="N94" s="89"/>
      <c r="O94" s="175"/>
    </row>
    <row r="95" spans="1:15" ht="15" customHeight="1" x14ac:dyDescent="0.25">
      <c r="A95" s="87" t="s">
        <v>805</v>
      </c>
      <c r="B95" s="39" t="s">
        <v>806</v>
      </c>
      <c r="C95" s="39">
        <v>2010</v>
      </c>
      <c r="D95" s="36" t="s">
        <v>800</v>
      </c>
      <c r="E95" s="36" t="s">
        <v>859</v>
      </c>
      <c r="F95" s="38" t="s">
        <v>860</v>
      </c>
      <c r="G95" s="36"/>
      <c r="H95" s="36"/>
      <c r="I95" s="220">
        <v>18.2</v>
      </c>
      <c r="J95" s="215"/>
      <c r="K95" s="170" t="s">
        <v>88</v>
      </c>
      <c r="L95" s="89"/>
      <c r="M95" s="89"/>
      <c r="N95" s="89"/>
      <c r="O95" s="175"/>
    </row>
    <row r="96" spans="1:15" ht="15" customHeight="1" x14ac:dyDescent="0.25">
      <c r="A96" s="87" t="s">
        <v>803</v>
      </c>
      <c r="B96" s="39" t="s">
        <v>804</v>
      </c>
      <c r="C96" s="39">
        <v>2010</v>
      </c>
      <c r="D96" s="36" t="s">
        <v>800</v>
      </c>
      <c r="E96" s="36" t="s">
        <v>861</v>
      </c>
      <c r="F96" s="215" t="s">
        <v>862</v>
      </c>
      <c r="G96" s="36"/>
      <c r="H96" s="36"/>
      <c r="I96" s="220">
        <v>2700.9</v>
      </c>
      <c r="J96" s="215"/>
      <c r="K96" s="170" t="s">
        <v>88</v>
      </c>
      <c r="L96" s="89"/>
      <c r="M96" s="89"/>
      <c r="N96" s="89"/>
      <c r="O96" s="175"/>
    </row>
    <row r="97" spans="1:15" ht="15" customHeight="1" x14ac:dyDescent="0.25">
      <c r="A97" s="87" t="s">
        <v>805</v>
      </c>
      <c r="B97" s="39" t="s">
        <v>806</v>
      </c>
      <c r="C97" s="39">
        <v>2010</v>
      </c>
      <c r="D97" s="36" t="s">
        <v>800</v>
      </c>
      <c r="E97" s="36" t="s">
        <v>861</v>
      </c>
      <c r="F97" s="38" t="s">
        <v>862</v>
      </c>
      <c r="G97" s="36"/>
      <c r="H97" s="36"/>
      <c r="I97" s="220">
        <v>2927.11</v>
      </c>
      <c r="J97" s="215"/>
      <c r="K97" s="170" t="s">
        <v>88</v>
      </c>
      <c r="L97" s="89"/>
      <c r="M97" s="89"/>
      <c r="N97" s="89"/>
      <c r="O97" s="175"/>
    </row>
    <row r="98" spans="1:15" ht="15" customHeight="1" x14ac:dyDescent="0.25">
      <c r="A98" s="87" t="s">
        <v>807</v>
      </c>
      <c r="B98" s="36" t="s">
        <v>808</v>
      </c>
      <c r="C98" s="39">
        <v>2010</v>
      </c>
      <c r="D98" s="36" t="s">
        <v>800</v>
      </c>
      <c r="E98" s="36" t="s">
        <v>861</v>
      </c>
      <c r="F98" s="38" t="s">
        <v>862</v>
      </c>
      <c r="G98" s="36"/>
      <c r="H98" s="36"/>
      <c r="I98" s="220">
        <v>973.86</v>
      </c>
      <c r="J98" s="215"/>
      <c r="K98" s="170" t="s">
        <v>88</v>
      </c>
      <c r="L98" s="89"/>
      <c r="M98" s="89"/>
      <c r="N98" s="89"/>
      <c r="O98" s="175"/>
    </row>
    <row r="99" spans="1:15" ht="15" customHeight="1" x14ac:dyDescent="0.25">
      <c r="A99" s="87" t="s">
        <v>809</v>
      </c>
      <c r="B99" s="36" t="s">
        <v>810</v>
      </c>
      <c r="C99" s="39">
        <v>2010</v>
      </c>
      <c r="D99" s="36" t="s">
        <v>800</v>
      </c>
      <c r="E99" s="36" t="s">
        <v>861</v>
      </c>
      <c r="F99" s="38" t="s">
        <v>862</v>
      </c>
      <c r="G99" s="36"/>
      <c r="H99" s="36"/>
      <c r="I99" s="220">
        <v>477.3</v>
      </c>
      <c r="J99" s="215"/>
      <c r="K99" s="170" t="s">
        <v>88</v>
      </c>
      <c r="L99" s="89"/>
      <c r="M99" s="89"/>
      <c r="N99" s="89"/>
      <c r="O99" s="175"/>
    </row>
    <row r="100" spans="1:15" ht="15" customHeight="1" x14ac:dyDescent="0.25">
      <c r="A100" s="87" t="s">
        <v>811</v>
      </c>
      <c r="B100" s="33" t="s">
        <v>812</v>
      </c>
      <c r="C100" s="35">
        <v>2010</v>
      </c>
      <c r="D100" s="33" t="s">
        <v>800</v>
      </c>
      <c r="E100" s="33" t="s">
        <v>861</v>
      </c>
      <c r="F100" s="34" t="s">
        <v>862</v>
      </c>
      <c r="G100" s="33"/>
      <c r="H100" s="33"/>
      <c r="I100" s="221">
        <v>5012.49</v>
      </c>
      <c r="J100" s="215"/>
      <c r="K100" s="170" t="s">
        <v>88</v>
      </c>
      <c r="L100" s="89"/>
      <c r="M100" s="89"/>
      <c r="N100" s="89"/>
      <c r="O100" s="175"/>
    </row>
    <row r="101" spans="1:15" ht="15" customHeight="1" x14ac:dyDescent="0.25">
      <c r="A101" s="87" t="s">
        <v>803</v>
      </c>
      <c r="B101" s="39" t="s">
        <v>804</v>
      </c>
      <c r="C101" s="39">
        <v>2010</v>
      </c>
      <c r="D101" s="36" t="s">
        <v>800</v>
      </c>
      <c r="E101" s="36" t="s">
        <v>863</v>
      </c>
      <c r="F101" s="215" t="s">
        <v>864</v>
      </c>
      <c r="G101" s="36"/>
      <c r="H101" s="36"/>
      <c r="I101" s="220">
        <v>427747.05</v>
      </c>
      <c r="J101" s="215"/>
      <c r="K101" s="170" t="s">
        <v>88</v>
      </c>
      <c r="L101" s="89"/>
      <c r="M101" s="89"/>
      <c r="N101" s="89"/>
      <c r="O101" s="175"/>
    </row>
    <row r="102" spans="1:15" ht="15" customHeight="1" x14ac:dyDescent="0.25">
      <c r="A102" s="87" t="s">
        <v>805</v>
      </c>
      <c r="B102" s="39" t="s">
        <v>806</v>
      </c>
      <c r="C102" s="39">
        <v>2010</v>
      </c>
      <c r="D102" s="36" t="s">
        <v>800</v>
      </c>
      <c r="E102" s="36" t="s">
        <v>863</v>
      </c>
      <c r="F102" s="38" t="s">
        <v>864</v>
      </c>
      <c r="G102" s="36"/>
      <c r="H102" s="36"/>
      <c r="I102" s="220">
        <v>186680.3</v>
      </c>
      <c r="J102" s="215"/>
      <c r="K102" s="170" t="s">
        <v>88</v>
      </c>
      <c r="L102" s="89"/>
      <c r="M102" s="89"/>
      <c r="N102" s="89"/>
      <c r="O102" s="175"/>
    </row>
    <row r="103" spans="1:15" ht="15" customHeight="1" x14ac:dyDescent="0.25">
      <c r="A103" s="87" t="s">
        <v>807</v>
      </c>
      <c r="B103" s="36" t="s">
        <v>808</v>
      </c>
      <c r="C103" s="39">
        <v>2010</v>
      </c>
      <c r="D103" s="36" t="s">
        <v>800</v>
      </c>
      <c r="E103" s="36" t="s">
        <v>863</v>
      </c>
      <c r="F103" s="38" t="s">
        <v>864</v>
      </c>
      <c r="G103" s="36"/>
      <c r="H103" s="36"/>
      <c r="I103" s="220">
        <v>394630.58</v>
      </c>
      <c r="J103" s="215"/>
      <c r="K103" s="170" t="s">
        <v>88</v>
      </c>
      <c r="L103" s="89"/>
      <c r="M103" s="89"/>
      <c r="N103" s="89"/>
      <c r="O103" s="175"/>
    </row>
    <row r="104" spans="1:15" ht="15" customHeight="1" x14ac:dyDescent="0.25">
      <c r="A104" s="87" t="s">
        <v>809</v>
      </c>
      <c r="B104" s="36" t="s">
        <v>810</v>
      </c>
      <c r="C104" s="39">
        <v>2010</v>
      </c>
      <c r="D104" s="36" t="s">
        <v>800</v>
      </c>
      <c r="E104" s="36" t="s">
        <v>863</v>
      </c>
      <c r="F104" s="38" t="s">
        <v>864</v>
      </c>
      <c r="G104" s="36"/>
      <c r="H104" s="36"/>
      <c r="I104" s="220">
        <v>347307.17</v>
      </c>
      <c r="J104" s="215"/>
      <c r="K104" s="170" t="s">
        <v>88</v>
      </c>
      <c r="L104" s="89"/>
      <c r="M104" s="89"/>
      <c r="N104" s="89"/>
      <c r="O104" s="175"/>
    </row>
    <row r="105" spans="1:15" ht="15" customHeight="1" x14ac:dyDescent="0.25">
      <c r="A105" s="87" t="s">
        <v>811</v>
      </c>
      <c r="B105" s="33" t="s">
        <v>812</v>
      </c>
      <c r="C105" s="35">
        <v>2010</v>
      </c>
      <c r="D105" s="33" t="s">
        <v>800</v>
      </c>
      <c r="E105" s="33" t="s">
        <v>863</v>
      </c>
      <c r="F105" s="34" t="s">
        <v>864</v>
      </c>
      <c r="G105" s="33"/>
      <c r="H105" s="33"/>
      <c r="I105" s="221">
        <v>379556.53</v>
      </c>
      <c r="J105" s="215"/>
      <c r="K105" s="170" t="s">
        <v>88</v>
      </c>
      <c r="L105" s="89"/>
      <c r="M105" s="89"/>
      <c r="N105" s="89"/>
      <c r="O105" s="175"/>
    </row>
    <row r="106" spans="1:15" ht="15" customHeight="1" x14ac:dyDescent="0.25">
      <c r="A106" s="87" t="s">
        <v>803</v>
      </c>
      <c r="B106" s="39" t="s">
        <v>804</v>
      </c>
      <c r="C106" s="39">
        <v>2010</v>
      </c>
      <c r="D106" s="36" t="s">
        <v>800</v>
      </c>
      <c r="E106" s="36" t="s">
        <v>865</v>
      </c>
      <c r="F106" s="215" t="s">
        <v>866</v>
      </c>
      <c r="G106" s="36"/>
      <c r="H106" s="36"/>
      <c r="I106" s="220">
        <v>26274.35</v>
      </c>
      <c r="J106" s="215"/>
      <c r="K106" s="170" t="s">
        <v>88</v>
      </c>
      <c r="L106" s="89"/>
      <c r="M106" s="89"/>
      <c r="N106" s="89"/>
      <c r="O106" s="175"/>
    </row>
    <row r="107" spans="1:15" ht="15" customHeight="1" x14ac:dyDescent="0.25">
      <c r="A107" s="87" t="s">
        <v>805</v>
      </c>
      <c r="B107" s="39" t="s">
        <v>806</v>
      </c>
      <c r="C107" s="39">
        <v>2010</v>
      </c>
      <c r="D107" s="36" t="s">
        <v>800</v>
      </c>
      <c r="E107" s="36" t="s">
        <v>865</v>
      </c>
      <c r="F107" s="38" t="s">
        <v>866</v>
      </c>
      <c r="G107" s="36"/>
      <c r="H107" s="36"/>
      <c r="I107" s="220">
        <v>6758.03</v>
      </c>
      <c r="J107" s="215"/>
      <c r="K107" s="170" t="s">
        <v>88</v>
      </c>
      <c r="L107" s="89"/>
      <c r="M107" s="89"/>
      <c r="N107" s="89"/>
      <c r="O107" s="175"/>
    </row>
    <row r="108" spans="1:15" ht="15" customHeight="1" x14ac:dyDescent="0.25">
      <c r="A108" s="87" t="s">
        <v>807</v>
      </c>
      <c r="B108" s="36" t="s">
        <v>808</v>
      </c>
      <c r="C108" s="39">
        <v>2010</v>
      </c>
      <c r="D108" s="36" t="s">
        <v>800</v>
      </c>
      <c r="E108" s="36" t="s">
        <v>865</v>
      </c>
      <c r="F108" s="38" t="s">
        <v>866</v>
      </c>
      <c r="G108" s="36"/>
      <c r="H108" s="36"/>
      <c r="I108" s="220">
        <v>3461.19</v>
      </c>
      <c r="J108" s="215"/>
      <c r="K108" s="170" t="s">
        <v>88</v>
      </c>
      <c r="L108" s="89"/>
      <c r="M108" s="89"/>
      <c r="N108" s="89"/>
      <c r="O108" s="175"/>
    </row>
    <row r="109" spans="1:15" ht="15" customHeight="1" x14ac:dyDescent="0.25">
      <c r="A109" s="87" t="s">
        <v>809</v>
      </c>
      <c r="B109" s="36" t="s">
        <v>810</v>
      </c>
      <c r="C109" s="39">
        <v>2010</v>
      </c>
      <c r="D109" s="36" t="s">
        <v>800</v>
      </c>
      <c r="E109" s="36" t="s">
        <v>865</v>
      </c>
      <c r="F109" s="38" t="s">
        <v>866</v>
      </c>
      <c r="G109" s="36"/>
      <c r="H109" s="36"/>
      <c r="I109" s="220">
        <v>9749.8799999999992</v>
      </c>
      <c r="J109" s="215"/>
      <c r="K109" s="170" t="s">
        <v>88</v>
      </c>
      <c r="L109" s="89"/>
      <c r="M109" s="89"/>
      <c r="N109" s="89"/>
      <c r="O109" s="175"/>
    </row>
    <row r="110" spans="1:15" ht="15" customHeight="1" x14ac:dyDescent="0.25">
      <c r="A110" s="87" t="s">
        <v>811</v>
      </c>
      <c r="B110" s="33" t="s">
        <v>812</v>
      </c>
      <c r="C110" s="35">
        <v>2010</v>
      </c>
      <c r="D110" s="33" t="s">
        <v>800</v>
      </c>
      <c r="E110" s="33" t="s">
        <v>865</v>
      </c>
      <c r="F110" s="34" t="s">
        <v>866</v>
      </c>
      <c r="G110" s="33"/>
      <c r="H110" s="33"/>
      <c r="I110" s="221">
        <v>9476.35</v>
      </c>
      <c r="J110" s="215"/>
      <c r="K110" s="170" t="s">
        <v>88</v>
      </c>
      <c r="L110" s="89"/>
      <c r="M110" s="89"/>
      <c r="N110" s="89"/>
      <c r="O110" s="175"/>
    </row>
    <row r="111" spans="1:15" ht="15" customHeight="1" x14ac:dyDescent="0.25">
      <c r="A111" s="87" t="s">
        <v>798</v>
      </c>
      <c r="B111" s="39" t="s">
        <v>799</v>
      </c>
      <c r="C111" s="39">
        <v>2010</v>
      </c>
      <c r="D111" s="36" t="s">
        <v>800</v>
      </c>
      <c r="E111" s="36" t="s">
        <v>865</v>
      </c>
      <c r="F111" s="215" t="s">
        <v>866</v>
      </c>
      <c r="G111" s="36"/>
      <c r="H111" s="36"/>
      <c r="I111" s="220">
        <v>30183.5</v>
      </c>
      <c r="J111" s="215"/>
      <c r="K111" s="170" t="s">
        <v>87</v>
      </c>
      <c r="L111" s="89"/>
      <c r="M111" s="89"/>
      <c r="N111" s="89"/>
      <c r="O111" s="175"/>
    </row>
    <row r="112" spans="1:15" ht="15" customHeight="1" x14ac:dyDescent="0.25">
      <c r="A112" s="87" t="s">
        <v>803</v>
      </c>
      <c r="B112" s="39" t="s">
        <v>804</v>
      </c>
      <c r="C112" s="39">
        <v>2010</v>
      </c>
      <c r="D112" s="36" t="s">
        <v>800</v>
      </c>
      <c r="E112" s="36" t="s">
        <v>867</v>
      </c>
      <c r="F112" s="215" t="s">
        <v>868</v>
      </c>
      <c r="G112" s="36"/>
      <c r="H112" s="36"/>
      <c r="I112" s="220">
        <v>12</v>
      </c>
      <c r="J112" s="215"/>
      <c r="K112" s="170" t="s">
        <v>88</v>
      </c>
      <c r="L112" s="89"/>
      <c r="M112" s="89"/>
      <c r="N112" s="89"/>
      <c r="O112" s="175"/>
    </row>
    <row r="113" spans="1:15" ht="15" customHeight="1" x14ac:dyDescent="0.25">
      <c r="A113" s="87" t="s">
        <v>805</v>
      </c>
      <c r="B113" s="39" t="s">
        <v>806</v>
      </c>
      <c r="C113" s="39">
        <v>2010</v>
      </c>
      <c r="D113" s="36" t="s">
        <v>800</v>
      </c>
      <c r="E113" s="36" t="s">
        <v>867</v>
      </c>
      <c r="F113" s="38" t="s">
        <v>868</v>
      </c>
      <c r="G113" s="36"/>
      <c r="H113" s="36"/>
      <c r="I113" s="220">
        <v>12</v>
      </c>
      <c r="J113" s="215"/>
      <c r="K113" s="170" t="s">
        <v>88</v>
      </c>
      <c r="L113" s="89"/>
      <c r="M113" s="89"/>
      <c r="N113" s="89"/>
      <c r="O113" s="175"/>
    </row>
    <row r="114" spans="1:15" ht="15" customHeight="1" x14ac:dyDescent="0.25">
      <c r="A114" s="87" t="s">
        <v>807</v>
      </c>
      <c r="B114" s="36" t="s">
        <v>808</v>
      </c>
      <c r="C114" s="39">
        <v>2010</v>
      </c>
      <c r="D114" s="36" t="s">
        <v>800</v>
      </c>
      <c r="E114" s="36" t="s">
        <v>867</v>
      </c>
      <c r="F114" s="38" t="s">
        <v>868</v>
      </c>
      <c r="G114" s="36"/>
      <c r="H114" s="36"/>
      <c r="I114" s="220">
        <v>136</v>
      </c>
      <c r="J114" s="215"/>
      <c r="K114" s="170" t="s">
        <v>88</v>
      </c>
      <c r="L114" s="89"/>
      <c r="M114" s="89"/>
      <c r="N114" s="89"/>
      <c r="O114" s="175"/>
    </row>
    <row r="115" spans="1:15" ht="15" customHeight="1" x14ac:dyDescent="0.25">
      <c r="A115" s="87" t="s">
        <v>811</v>
      </c>
      <c r="B115" s="33" t="s">
        <v>812</v>
      </c>
      <c r="C115" s="35">
        <v>2010</v>
      </c>
      <c r="D115" s="33" t="s">
        <v>800</v>
      </c>
      <c r="E115" s="33" t="s">
        <v>867</v>
      </c>
      <c r="F115" s="34" t="s">
        <v>868</v>
      </c>
      <c r="G115" s="33"/>
      <c r="H115" s="33"/>
      <c r="I115" s="221">
        <v>96</v>
      </c>
      <c r="J115" s="215"/>
      <c r="K115" s="170" t="s">
        <v>88</v>
      </c>
      <c r="L115" s="89"/>
      <c r="M115" s="89"/>
      <c r="N115" s="89"/>
      <c r="O115" s="175"/>
    </row>
    <row r="116" spans="1:15" ht="15" customHeight="1" x14ac:dyDescent="0.25">
      <c r="A116" s="87" t="s">
        <v>803</v>
      </c>
      <c r="B116" s="39" t="s">
        <v>804</v>
      </c>
      <c r="C116" s="39">
        <v>2010</v>
      </c>
      <c r="D116" s="36" t="s">
        <v>800</v>
      </c>
      <c r="E116" s="36" t="s">
        <v>869</v>
      </c>
      <c r="F116" s="215" t="s">
        <v>870</v>
      </c>
      <c r="G116" s="36"/>
      <c r="H116" s="36"/>
      <c r="I116" s="220">
        <v>141704.59</v>
      </c>
      <c r="J116" s="215"/>
      <c r="K116" s="170" t="s">
        <v>88</v>
      </c>
      <c r="L116" s="89"/>
      <c r="M116" s="89"/>
      <c r="N116" s="89"/>
      <c r="O116" s="175"/>
    </row>
    <row r="117" spans="1:15" ht="15" customHeight="1" x14ac:dyDescent="0.25">
      <c r="A117" s="87" t="s">
        <v>805</v>
      </c>
      <c r="B117" s="39" t="s">
        <v>806</v>
      </c>
      <c r="C117" s="39">
        <v>2010</v>
      </c>
      <c r="D117" s="36" t="s">
        <v>800</v>
      </c>
      <c r="E117" s="36" t="s">
        <v>869</v>
      </c>
      <c r="F117" s="38" t="s">
        <v>870</v>
      </c>
      <c r="G117" s="36"/>
      <c r="H117" s="36"/>
      <c r="I117" s="220">
        <v>33772.639999999999</v>
      </c>
      <c r="J117" s="215"/>
      <c r="K117" s="170" t="s">
        <v>88</v>
      </c>
      <c r="L117" s="89"/>
      <c r="M117" s="89"/>
      <c r="N117" s="89"/>
      <c r="O117" s="175"/>
    </row>
    <row r="118" spans="1:15" ht="15" customHeight="1" x14ac:dyDescent="0.25">
      <c r="A118" s="87" t="s">
        <v>807</v>
      </c>
      <c r="B118" s="36" t="s">
        <v>808</v>
      </c>
      <c r="C118" s="39">
        <v>2010</v>
      </c>
      <c r="D118" s="36" t="s">
        <v>800</v>
      </c>
      <c r="E118" s="36" t="s">
        <v>869</v>
      </c>
      <c r="F118" s="38" t="s">
        <v>870</v>
      </c>
      <c r="G118" s="36"/>
      <c r="H118" s="36"/>
      <c r="I118" s="220">
        <v>79796.3</v>
      </c>
      <c r="J118" s="215"/>
      <c r="K118" s="170" t="s">
        <v>88</v>
      </c>
      <c r="L118" s="89"/>
      <c r="M118" s="89"/>
      <c r="N118" s="89"/>
      <c r="O118" s="175"/>
    </row>
    <row r="119" spans="1:15" ht="15" customHeight="1" x14ac:dyDescent="0.25">
      <c r="A119" s="87" t="s">
        <v>809</v>
      </c>
      <c r="B119" s="36" t="s">
        <v>810</v>
      </c>
      <c r="C119" s="39">
        <v>2010</v>
      </c>
      <c r="D119" s="36" t="s">
        <v>800</v>
      </c>
      <c r="E119" s="36" t="s">
        <v>869</v>
      </c>
      <c r="F119" s="38" t="s">
        <v>870</v>
      </c>
      <c r="G119" s="36"/>
      <c r="H119" s="36"/>
      <c r="I119" s="220">
        <v>40426.25</v>
      </c>
      <c r="J119" s="215"/>
      <c r="K119" s="170" t="s">
        <v>88</v>
      </c>
      <c r="L119" s="89"/>
      <c r="M119" s="89"/>
      <c r="N119" s="89"/>
      <c r="O119" s="175"/>
    </row>
    <row r="120" spans="1:15" ht="15" customHeight="1" x14ac:dyDescent="0.25">
      <c r="A120" s="87" t="s">
        <v>811</v>
      </c>
      <c r="B120" s="33" t="s">
        <v>812</v>
      </c>
      <c r="C120" s="35">
        <v>2010</v>
      </c>
      <c r="D120" s="33" t="s">
        <v>800</v>
      </c>
      <c r="E120" s="33" t="s">
        <v>869</v>
      </c>
      <c r="F120" s="34" t="s">
        <v>870</v>
      </c>
      <c r="G120" s="33"/>
      <c r="H120" s="33"/>
      <c r="I120" s="221">
        <v>30733.22</v>
      </c>
      <c r="J120" s="215"/>
      <c r="K120" s="170" t="s">
        <v>88</v>
      </c>
      <c r="L120" s="89"/>
      <c r="M120" s="89"/>
      <c r="N120" s="89"/>
      <c r="O120" s="175"/>
    </row>
    <row r="121" spans="1:15" ht="15" customHeight="1" x14ac:dyDescent="0.25">
      <c r="A121" s="87" t="s">
        <v>798</v>
      </c>
      <c r="B121" s="39" t="s">
        <v>799</v>
      </c>
      <c r="C121" s="39">
        <v>2010</v>
      </c>
      <c r="D121" s="36" t="s">
        <v>800</v>
      </c>
      <c r="E121" s="36" t="s">
        <v>869</v>
      </c>
      <c r="F121" s="215" t="s">
        <v>870</v>
      </c>
      <c r="G121" s="36"/>
      <c r="H121" s="36"/>
      <c r="I121" s="220">
        <v>13867.73</v>
      </c>
      <c r="J121" s="215"/>
      <c r="K121" s="170" t="s">
        <v>87</v>
      </c>
      <c r="L121" s="89"/>
      <c r="M121" s="89"/>
      <c r="N121" s="89"/>
      <c r="O121" s="175"/>
    </row>
    <row r="122" spans="1:15" ht="15" customHeight="1" x14ac:dyDescent="0.25">
      <c r="A122" s="87" t="s">
        <v>803</v>
      </c>
      <c r="B122" s="39" t="s">
        <v>804</v>
      </c>
      <c r="C122" s="39">
        <v>2010</v>
      </c>
      <c r="D122" s="36" t="s">
        <v>800</v>
      </c>
      <c r="E122" s="36" t="s">
        <v>871</v>
      </c>
      <c r="F122" s="215" t="s">
        <v>872</v>
      </c>
      <c r="G122" s="36"/>
      <c r="H122" s="36"/>
      <c r="I122" s="220">
        <v>35368.81</v>
      </c>
      <c r="J122" s="215"/>
      <c r="K122" s="170" t="s">
        <v>88</v>
      </c>
      <c r="L122" s="89"/>
      <c r="M122" s="89"/>
      <c r="N122" s="89"/>
      <c r="O122" s="175"/>
    </row>
    <row r="123" spans="1:15" ht="15" customHeight="1" x14ac:dyDescent="0.25">
      <c r="A123" s="87" t="s">
        <v>805</v>
      </c>
      <c r="B123" s="36" t="s">
        <v>806</v>
      </c>
      <c r="C123" s="39">
        <v>2010</v>
      </c>
      <c r="D123" s="36" t="s">
        <v>800</v>
      </c>
      <c r="E123" s="36" t="s">
        <v>871</v>
      </c>
      <c r="F123" s="38" t="s">
        <v>872</v>
      </c>
      <c r="G123" s="36"/>
      <c r="H123" s="36"/>
      <c r="I123" s="220">
        <v>18781.71</v>
      </c>
      <c r="J123" s="215"/>
      <c r="K123" s="170" t="s">
        <v>88</v>
      </c>
      <c r="L123" s="89"/>
      <c r="M123" s="89"/>
      <c r="N123" s="89"/>
      <c r="O123" s="175"/>
    </row>
    <row r="124" spans="1:15" ht="15" customHeight="1" x14ac:dyDescent="0.25">
      <c r="A124" s="87" t="s">
        <v>807</v>
      </c>
      <c r="B124" s="36" t="s">
        <v>808</v>
      </c>
      <c r="C124" s="39">
        <v>2010</v>
      </c>
      <c r="D124" s="36" t="s">
        <v>800</v>
      </c>
      <c r="E124" s="36" t="s">
        <v>871</v>
      </c>
      <c r="F124" s="38" t="s">
        <v>872</v>
      </c>
      <c r="G124" s="36"/>
      <c r="H124" s="36"/>
      <c r="I124" s="220">
        <v>10040.52</v>
      </c>
      <c r="J124" s="215"/>
      <c r="K124" s="170" t="s">
        <v>88</v>
      </c>
      <c r="L124" s="89"/>
      <c r="M124" s="89"/>
      <c r="N124" s="89"/>
      <c r="O124" s="175"/>
    </row>
    <row r="125" spans="1:15" ht="15" customHeight="1" x14ac:dyDescent="0.25">
      <c r="A125" s="87" t="s">
        <v>809</v>
      </c>
      <c r="B125" s="36" t="s">
        <v>810</v>
      </c>
      <c r="C125" s="39">
        <v>2010</v>
      </c>
      <c r="D125" s="36" t="s">
        <v>800</v>
      </c>
      <c r="E125" s="36" t="s">
        <v>871</v>
      </c>
      <c r="F125" s="38" t="s">
        <v>872</v>
      </c>
      <c r="G125" s="36"/>
      <c r="H125" s="36"/>
      <c r="I125" s="220">
        <v>1377.58</v>
      </c>
      <c r="J125" s="215"/>
      <c r="K125" s="170" t="s">
        <v>88</v>
      </c>
      <c r="L125" s="89"/>
      <c r="M125" s="89"/>
      <c r="N125" s="89"/>
      <c r="O125" s="175"/>
    </row>
    <row r="126" spans="1:15" ht="15" customHeight="1" x14ac:dyDescent="0.25">
      <c r="A126" s="87" t="s">
        <v>811</v>
      </c>
      <c r="B126" s="33" t="s">
        <v>812</v>
      </c>
      <c r="C126" s="35">
        <v>2010</v>
      </c>
      <c r="D126" s="33" t="s">
        <v>800</v>
      </c>
      <c r="E126" s="33" t="s">
        <v>871</v>
      </c>
      <c r="F126" s="34" t="s">
        <v>872</v>
      </c>
      <c r="G126" s="33"/>
      <c r="H126" s="33"/>
      <c r="I126" s="221">
        <v>20740.599999999999</v>
      </c>
      <c r="J126" s="215"/>
      <c r="K126" s="170" t="s">
        <v>88</v>
      </c>
      <c r="L126" s="89"/>
      <c r="M126" s="89"/>
      <c r="N126" s="89"/>
      <c r="O126" s="175"/>
    </row>
    <row r="127" spans="1:15" ht="15" customHeight="1" x14ac:dyDescent="0.25">
      <c r="A127" s="87" t="s">
        <v>798</v>
      </c>
      <c r="B127" s="39" t="s">
        <v>799</v>
      </c>
      <c r="C127" s="39">
        <v>2010</v>
      </c>
      <c r="D127" s="36" t="s">
        <v>800</v>
      </c>
      <c r="E127" s="36" t="s">
        <v>871</v>
      </c>
      <c r="F127" s="215" t="s">
        <v>872</v>
      </c>
      <c r="G127" s="36"/>
      <c r="H127" s="36"/>
      <c r="I127" s="220">
        <v>2120.64</v>
      </c>
      <c r="J127" s="215"/>
      <c r="K127" s="170" t="s">
        <v>87</v>
      </c>
      <c r="L127" s="89"/>
      <c r="M127" s="89"/>
      <c r="N127" s="89"/>
      <c r="O127" s="175"/>
    </row>
    <row r="128" spans="1:15" ht="15" customHeight="1" x14ac:dyDescent="0.25">
      <c r="A128" s="87" t="s">
        <v>803</v>
      </c>
      <c r="B128" s="39" t="s">
        <v>804</v>
      </c>
      <c r="C128" s="39">
        <v>2010</v>
      </c>
      <c r="D128" s="36" t="s">
        <v>800</v>
      </c>
      <c r="E128" s="36" t="s">
        <v>873</v>
      </c>
      <c r="F128" s="215" t="s">
        <v>874</v>
      </c>
      <c r="G128" s="36"/>
      <c r="H128" s="36"/>
      <c r="I128" s="220">
        <v>13528.94</v>
      </c>
      <c r="J128" s="215"/>
      <c r="K128" s="170" t="s">
        <v>88</v>
      </c>
      <c r="L128" s="89"/>
      <c r="M128" s="89"/>
      <c r="N128" s="89"/>
      <c r="O128" s="175"/>
    </row>
    <row r="129" spans="1:15" ht="15" customHeight="1" x14ac:dyDescent="0.25">
      <c r="A129" s="87" t="s">
        <v>805</v>
      </c>
      <c r="B129" s="36" t="s">
        <v>806</v>
      </c>
      <c r="C129" s="39">
        <v>2010</v>
      </c>
      <c r="D129" s="36" t="s">
        <v>800</v>
      </c>
      <c r="E129" s="36" t="s">
        <v>873</v>
      </c>
      <c r="F129" s="38" t="s">
        <v>874</v>
      </c>
      <c r="G129" s="36"/>
      <c r="H129" s="36"/>
      <c r="I129" s="220">
        <v>7272.2</v>
      </c>
      <c r="J129" s="215"/>
      <c r="K129" s="170" t="s">
        <v>88</v>
      </c>
      <c r="L129" s="89"/>
      <c r="M129" s="89"/>
      <c r="N129" s="89"/>
      <c r="O129" s="175"/>
    </row>
    <row r="130" spans="1:15" ht="15" customHeight="1" x14ac:dyDescent="0.25">
      <c r="A130" s="87" t="s">
        <v>807</v>
      </c>
      <c r="B130" s="36" t="s">
        <v>808</v>
      </c>
      <c r="C130" s="39">
        <v>2010</v>
      </c>
      <c r="D130" s="36" t="s">
        <v>800</v>
      </c>
      <c r="E130" s="36" t="s">
        <v>873</v>
      </c>
      <c r="F130" s="38" t="s">
        <v>874</v>
      </c>
      <c r="G130" s="36"/>
      <c r="H130" s="36"/>
      <c r="I130" s="220">
        <v>12001.99</v>
      </c>
      <c r="J130" s="215"/>
      <c r="K130" s="170" t="s">
        <v>88</v>
      </c>
      <c r="L130" s="89"/>
      <c r="M130" s="89"/>
      <c r="N130" s="89"/>
      <c r="O130" s="175"/>
    </row>
    <row r="131" spans="1:15" ht="15" customHeight="1" x14ac:dyDescent="0.25">
      <c r="A131" s="87" t="s">
        <v>809</v>
      </c>
      <c r="B131" s="36" t="s">
        <v>810</v>
      </c>
      <c r="C131" s="39">
        <v>2010</v>
      </c>
      <c r="D131" s="36" t="s">
        <v>800</v>
      </c>
      <c r="E131" s="36" t="s">
        <v>873</v>
      </c>
      <c r="F131" s="38" t="s">
        <v>874</v>
      </c>
      <c r="G131" s="36"/>
      <c r="H131" s="36"/>
      <c r="I131" s="220">
        <v>10260.02</v>
      </c>
      <c r="J131" s="215"/>
      <c r="K131" s="170" t="s">
        <v>88</v>
      </c>
      <c r="L131" s="89"/>
      <c r="M131" s="89"/>
      <c r="N131" s="89"/>
      <c r="O131" s="175"/>
    </row>
    <row r="132" spans="1:15" ht="15" customHeight="1" x14ac:dyDescent="0.25">
      <c r="A132" s="87" t="s">
        <v>811</v>
      </c>
      <c r="B132" s="33" t="s">
        <v>812</v>
      </c>
      <c r="C132" s="35">
        <v>2010</v>
      </c>
      <c r="D132" s="33" t="s">
        <v>800</v>
      </c>
      <c r="E132" s="33" t="s">
        <v>873</v>
      </c>
      <c r="F132" s="34" t="s">
        <v>874</v>
      </c>
      <c r="G132" s="33"/>
      <c r="H132" s="33"/>
      <c r="I132" s="221">
        <v>11680.48</v>
      </c>
      <c r="J132" s="215"/>
      <c r="K132" s="170" t="s">
        <v>88</v>
      </c>
      <c r="L132" s="89"/>
      <c r="M132" s="89"/>
      <c r="N132" s="89"/>
      <c r="O132" s="175"/>
    </row>
    <row r="133" spans="1:15" ht="15" customHeight="1" x14ac:dyDescent="0.25">
      <c r="A133" s="87" t="s">
        <v>803</v>
      </c>
      <c r="B133" s="39" t="s">
        <v>804</v>
      </c>
      <c r="C133" s="39">
        <v>2010</v>
      </c>
      <c r="D133" s="36" t="s">
        <v>800</v>
      </c>
      <c r="E133" s="36" t="s">
        <v>875</v>
      </c>
      <c r="F133" s="215" t="s">
        <v>876</v>
      </c>
      <c r="G133" s="36"/>
      <c r="H133" s="36"/>
      <c r="I133" s="220">
        <v>18857.63</v>
      </c>
      <c r="J133" s="215"/>
      <c r="K133" s="170" t="s">
        <v>88</v>
      </c>
      <c r="L133" s="89"/>
      <c r="M133" s="89"/>
      <c r="N133" s="89"/>
      <c r="O133" s="175"/>
    </row>
    <row r="134" spans="1:15" ht="15" customHeight="1" x14ac:dyDescent="0.25">
      <c r="A134" s="87" t="s">
        <v>805</v>
      </c>
      <c r="B134" s="36" t="s">
        <v>806</v>
      </c>
      <c r="C134" s="39">
        <v>2010</v>
      </c>
      <c r="D134" s="36" t="s">
        <v>800</v>
      </c>
      <c r="E134" s="36" t="s">
        <v>875</v>
      </c>
      <c r="F134" s="38" t="s">
        <v>876</v>
      </c>
      <c r="G134" s="36"/>
      <c r="H134" s="36"/>
      <c r="I134" s="220">
        <v>4063.14</v>
      </c>
      <c r="J134" s="215"/>
      <c r="K134" s="170" t="s">
        <v>88</v>
      </c>
      <c r="L134" s="89"/>
      <c r="M134" s="89"/>
      <c r="N134" s="89"/>
      <c r="O134" s="175"/>
    </row>
    <row r="135" spans="1:15" ht="15" customHeight="1" x14ac:dyDescent="0.25">
      <c r="A135" s="87" t="s">
        <v>807</v>
      </c>
      <c r="B135" s="36" t="s">
        <v>808</v>
      </c>
      <c r="C135" s="39">
        <v>2010</v>
      </c>
      <c r="D135" s="36" t="s">
        <v>800</v>
      </c>
      <c r="E135" s="36" t="s">
        <v>875</v>
      </c>
      <c r="F135" s="38" t="s">
        <v>876</v>
      </c>
      <c r="G135" s="36"/>
      <c r="H135" s="36"/>
      <c r="I135" s="220">
        <v>24816.44</v>
      </c>
      <c r="J135" s="215"/>
      <c r="K135" s="170" t="s">
        <v>88</v>
      </c>
      <c r="L135" s="89"/>
      <c r="M135" s="89"/>
      <c r="N135" s="89"/>
      <c r="O135" s="175"/>
    </row>
    <row r="136" spans="1:15" ht="15" customHeight="1" x14ac:dyDescent="0.25">
      <c r="A136" s="87" t="s">
        <v>809</v>
      </c>
      <c r="B136" s="36" t="s">
        <v>810</v>
      </c>
      <c r="C136" s="39">
        <v>2010</v>
      </c>
      <c r="D136" s="36" t="s">
        <v>800</v>
      </c>
      <c r="E136" s="36" t="s">
        <v>875</v>
      </c>
      <c r="F136" s="38" t="s">
        <v>876</v>
      </c>
      <c r="G136" s="36"/>
      <c r="H136" s="36"/>
      <c r="I136" s="220">
        <v>12942.42</v>
      </c>
      <c r="J136" s="215"/>
      <c r="K136" s="170" t="s">
        <v>88</v>
      </c>
      <c r="L136" s="89"/>
      <c r="M136" s="89"/>
      <c r="N136" s="89"/>
      <c r="O136" s="175"/>
    </row>
    <row r="137" spans="1:15" ht="15" customHeight="1" x14ac:dyDescent="0.25">
      <c r="A137" s="87" t="s">
        <v>811</v>
      </c>
      <c r="B137" s="33" t="s">
        <v>812</v>
      </c>
      <c r="C137" s="35">
        <v>2010</v>
      </c>
      <c r="D137" s="33" t="s">
        <v>800</v>
      </c>
      <c r="E137" s="33" t="s">
        <v>875</v>
      </c>
      <c r="F137" s="34" t="s">
        <v>876</v>
      </c>
      <c r="G137" s="33"/>
      <c r="H137" s="33"/>
      <c r="I137" s="221">
        <v>13678.85</v>
      </c>
      <c r="J137" s="215"/>
      <c r="K137" s="170" t="s">
        <v>88</v>
      </c>
      <c r="L137" s="89"/>
      <c r="M137" s="89"/>
      <c r="N137" s="89"/>
      <c r="O137" s="175"/>
    </row>
    <row r="138" spans="1:15" ht="15" customHeight="1" x14ac:dyDescent="0.25">
      <c r="A138" s="87" t="s">
        <v>877</v>
      </c>
      <c r="B138" s="36" t="s">
        <v>878</v>
      </c>
      <c r="C138" s="39">
        <v>2010</v>
      </c>
      <c r="D138" s="36" t="s">
        <v>800</v>
      </c>
      <c r="E138" s="36" t="s">
        <v>875</v>
      </c>
      <c r="F138" s="38" t="s">
        <v>876</v>
      </c>
      <c r="G138" s="36"/>
      <c r="H138" s="36"/>
      <c r="I138" s="220">
        <v>7395.21</v>
      </c>
      <c r="J138" s="215"/>
      <c r="K138" s="170" t="s">
        <v>95</v>
      </c>
      <c r="L138" s="89"/>
      <c r="M138" s="89"/>
      <c r="N138" s="89"/>
      <c r="O138" s="175"/>
    </row>
    <row r="139" spans="1:15" ht="15" customHeight="1" x14ac:dyDescent="0.25">
      <c r="A139" s="87" t="s">
        <v>805</v>
      </c>
      <c r="B139" s="36" t="s">
        <v>806</v>
      </c>
      <c r="C139" s="39">
        <v>2010</v>
      </c>
      <c r="D139" s="36" t="s">
        <v>800</v>
      </c>
      <c r="E139" s="36" t="s">
        <v>881</v>
      </c>
      <c r="F139" s="38" t="s">
        <v>882</v>
      </c>
      <c r="G139" s="36"/>
      <c r="H139" s="36"/>
      <c r="I139" s="220">
        <v>14</v>
      </c>
      <c r="J139" s="215"/>
      <c r="K139" s="170" t="s">
        <v>88</v>
      </c>
      <c r="L139" s="89"/>
      <c r="M139" s="89"/>
      <c r="N139" s="89"/>
      <c r="O139" s="175"/>
    </row>
    <row r="140" spans="1:15" ht="15" customHeight="1" x14ac:dyDescent="0.25">
      <c r="A140" s="87" t="s">
        <v>879</v>
      </c>
      <c r="B140" s="39" t="s">
        <v>880</v>
      </c>
      <c r="C140" s="39">
        <v>2010</v>
      </c>
      <c r="D140" s="36" t="s">
        <v>800</v>
      </c>
      <c r="E140" s="36" t="s">
        <v>881</v>
      </c>
      <c r="F140" s="215" t="s">
        <v>882</v>
      </c>
      <c r="G140" s="36"/>
      <c r="H140" s="36"/>
      <c r="I140" s="220">
        <v>8.75</v>
      </c>
      <c r="J140" s="215"/>
      <c r="K140" s="170" t="s">
        <v>95</v>
      </c>
      <c r="L140" s="89"/>
      <c r="M140" s="89"/>
      <c r="N140" s="89"/>
      <c r="O140" s="175"/>
    </row>
    <row r="141" spans="1:15" ht="15" customHeight="1" x14ac:dyDescent="0.25">
      <c r="A141" s="87" t="s">
        <v>803</v>
      </c>
      <c r="B141" s="39" t="s">
        <v>804</v>
      </c>
      <c r="C141" s="39">
        <v>2010</v>
      </c>
      <c r="D141" s="36" t="s">
        <v>800</v>
      </c>
      <c r="E141" s="36" t="s">
        <v>883</v>
      </c>
      <c r="F141" s="215" t="s">
        <v>884</v>
      </c>
      <c r="G141" s="36"/>
      <c r="H141" s="36"/>
      <c r="I141" s="220">
        <v>13851</v>
      </c>
      <c r="J141" s="215"/>
      <c r="K141" s="170" t="s">
        <v>88</v>
      </c>
      <c r="L141" s="89"/>
      <c r="M141" s="89"/>
      <c r="N141" s="89"/>
      <c r="O141" s="175"/>
    </row>
    <row r="142" spans="1:15" ht="15" customHeight="1" x14ac:dyDescent="0.25">
      <c r="A142" s="87" t="s">
        <v>805</v>
      </c>
      <c r="B142" s="36" t="s">
        <v>806</v>
      </c>
      <c r="C142" s="39">
        <v>2010</v>
      </c>
      <c r="D142" s="36" t="s">
        <v>800</v>
      </c>
      <c r="E142" s="36" t="s">
        <v>883</v>
      </c>
      <c r="F142" s="38" t="s">
        <v>884</v>
      </c>
      <c r="G142" s="36"/>
      <c r="H142" s="36"/>
      <c r="I142" s="220">
        <v>59271.5</v>
      </c>
      <c r="J142" s="215"/>
      <c r="K142" s="170" t="s">
        <v>88</v>
      </c>
      <c r="L142" s="89"/>
      <c r="M142" s="89"/>
      <c r="N142" s="89"/>
      <c r="O142" s="175"/>
    </row>
    <row r="143" spans="1:15" ht="15" customHeight="1" x14ac:dyDescent="0.25">
      <c r="A143" s="87" t="s">
        <v>807</v>
      </c>
      <c r="B143" s="36" t="s">
        <v>808</v>
      </c>
      <c r="C143" s="39">
        <v>2010</v>
      </c>
      <c r="D143" s="36" t="s">
        <v>800</v>
      </c>
      <c r="E143" s="36" t="s">
        <v>883</v>
      </c>
      <c r="F143" s="38" t="s">
        <v>884</v>
      </c>
      <c r="G143" s="36"/>
      <c r="H143" s="36"/>
      <c r="I143" s="220">
        <v>3800</v>
      </c>
      <c r="J143" s="215"/>
      <c r="K143" s="170" t="s">
        <v>88</v>
      </c>
      <c r="L143" s="89"/>
      <c r="M143" s="89"/>
      <c r="N143" s="89"/>
      <c r="O143" s="175"/>
    </row>
    <row r="144" spans="1:15" ht="15" customHeight="1" x14ac:dyDescent="0.25">
      <c r="A144" s="87" t="s">
        <v>811</v>
      </c>
      <c r="B144" s="33" t="s">
        <v>812</v>
      </c>
      <c r="C144" s="35">
        <v>2010</v>
      </c>
      <c r="D144" s="33" t="s">
        <v>800</v>
      </c>
      <c r="E144" s="33" t="s">
        <v>883</v>
      </c>
      <c r="F144" s="34" t="s">
        <v>884</v>
      </c>
      <c r="G144" s="33"/>
      <c r="H144" s="33"/>
      <c r="I144" s="221">
        <v>3800</v>
      </c>
      <c r="J144" s="215"/>
      <c r="K144" s="170" t="s">
        <v>88</v>
      </c>
      <c r="L144" s="89"/>
      <c r="M144" s="89"/>
      <c r="N144" s="89"/>
      <c r="O144" s="175"/>
    </row>
    <row r="145" spans="1:15" ht="15" customHeight="1" x14ac:dyDescent="0.25">
      <c r="A145" s="87" t="s">
        <v>798</v>
      </c>
      <c r="B145" s="39" t="s">
        <v>799</v>
      </c>
      <c r="C145" s="39">
        <v>2010</v>
      </c>
      <c r="D145" s="36" t="s">
        <v>800</v>
      </c>
      <c r="E145" s="36" t="s">
        <v>883</v>
      </c>
      <c r="F145" s="215" t="s">
        <v>884</v>
      </c>
      <c r="G145" s="36"/>
      <c r="H145" s="36"/>
      <c r="I145" s="220">
        <v>184339.34</v>
      </c>
      <c r="J145" s="215"/>
      <c r="K145" s="170" t="s">
        <v>87</v>
      </c>
      <c r="L145" s="89"/>
      <c r="M145" s="89"/>
      <c r="N145" s="89"/>
      <c r="O145" s="175"/>
    </row>
    <row r="146" spans="1:15" ht="15" customHeight="1" x14ac:dyDescent="0.25">
      <c r="A146" s="87" t="s">
        <v>803</v>
      </c>
      <c r="B146" s="39" t="s">
        <v>804</v>
      </c>
      <c r="C146" s="39">
        <v>2010</v>
      </c>
      <c r="D146" s="36" t="s">
        <v>800</v>
      </c>
      <c r="E146" s="36" t="s">
        <v>885</v>
      </c>
      <c r="F146" s="215" t="s">
        <v>886</v>
      </c>
      <c r="G146" s="36"/>
      <c r="H146" s="36"/>
      <c r="I146" s="220">
        <v>1433.2</v>
      </c>
      <c r="J146" s="215"/>
      <c r="K146" s="170" t="s">
        <v>88</v>
      </c>
      <c r="L146" s="89"/>
      <c r="M146" s="89"/>
      <c r="N146" s="89"/>
      <c r="O146" s="175"/>
    </row>
    <row r="147" spans="1:15" ht="15" customHeight="1" x14ac:dyDescent="0.25">
      <c r="A147" s="87" t="s">
        <v>805</v>
      </c>
      <c r="B147" s="36" t="s">
        <v>806</v>
      </c>
      <c r="C147" s="39">
        <v>2010</v>
      </c>
      <c r="D147" s="36" t="s">
        <v>800</v>
      </c>
      <c r="E147" s="36" t="s">
        <v>885</v>
      </c>
      <c r="F147" s="38" t="s">
        <v>886</v>
      </c>
      <c r="G147" s="36"/>
      <c r="H147" s="36"/>
      <c r="I147" s="220">
        <v>2538.4499999999998</v>
      </c>
      <c r="J147" s="215"/>
      <c r="K147" s="170" t="s">
        <v>88</v>
      </c>
      <c r="L147" s="89"/>
      <c r="M147" s="89"/>
      <c r="N147" s="89"/>
      <c r="O147" s="175"/>
    </row>
    <row r="148" spans="1:15" ht="15" customHeight="1" x14ac:dyDescent="0.25">
      <c r="A148" s="87" t="s">
        <v>807</v>
      </c>
      <c r="B148" s="36" t="s">
        <v>808</v>
      </c>
      <c r="C148" s="39">
        <v>2010</v>
      </c>
      <c r="D148" s="36" t="s">
        <v>800</v>
      </c>
      <c r="E148" s="36" t="s">
        <v>885</v>
      </c>
      <c r="F148" s="38" t="s">
        <v>886</v>
      </c>
      <c r="G148" s="36"/>
      <c r="H148" s="36"/>
      <c r="I148" s="220">
        <v>2368.8000000000002</v>
      </c>
      <c r="J148" s="215"/>
      <c r="K148" s="170" t="s">
        <v>88</v>
      </c>
      <c r="L148" s="89"/>
      <c r="M148" s="89"/>
      <c r="N148" s="89"/>
      <c r="O148" s="175"/>
    </row>
    <row r="149" spans="1:15" ht="15" customHeight="1" x14ac:dyDescent="0.25">
      <c r="A149" s="87" t="s">
        <v>809</v>
      </c>
      <c r="B149" s="36" t="s">
        <v>810</v>
      </c>
      <c r="C149" s="39">
        <v>2010</v>
      </c>
      <c r="D149" s="36" t="s">
        <v>800</v>
      </c>
      <c r="E149" s="36" t="s">
        <v>885</v>
      </c>
      <c r="F149" s="38" t="s">
        <v>886</v>
      </c>
      <c r="G149" s="36"/>
      <c r="H149" s="36"/>
      <c r="I149" s="220">
        <v>2203.65</v>
      </c>
      <c r="J149" s="215"/>
      <c r="K149" s="170" t="s">
        <v>88</v>
      </c>
      <c r="L149" s="89"/>
      <c r="M149" s="89"/>
      <c r="N149" s="89"/>
      <c r="O149" s="175"/>
    </row>
    <row r="150" spans="1:15" ht="15" customHeight="1" x14ac:dyDescent="0.25">
      <c r="A150" s="87" t="s">
        <v>834</v>
      </c>
      <c r="B150" s="33" t="s">
        <v>835</v>
      </c>
      <c r="C150" s="35">
        <v>2010</v>
      </c>
      <c r="D150" s="33" t="s">
        <v>800</v>
      </c>
      <c r="E150" s="33" t="s">
        <v>885</v>
      </c>
      <c r="F150" s="34" t="s">
        <v>886</v>
      </c>
      <c r="G150" s="33"/>
      <c r="H150" s="33"/>
      <c r="I150" s="221">
        <v>40.6</v>
      </c>
      <c r="J150" s="215"/>
      <c r="K150" s="170" t="s">
        <v>88</v>
      </c>
      <c r="L150" s="89"/>
      <c r="M150" s="89"/>
      <c r="N150" s="89"/>
      <c r="O150" s="175"/>
    </row>
    <row r="151" spans="1:15" ht="15" customHeight="1" x14ac:dyDescent="0.25">
      <c r="A151" s="87" t="s">
        <v>798</v>
      </c>
      <c r="B151" s="39" t="s">
        <v>799</v>
      </c>
      <c r="C151" s="39">
        <v>2010</v>
      </c>
      <c r="D151" s="36" t="s">
        <v>800</v>
      </c>
      <c r="E151" s="36" t="s">
        <v>885</v>
      </c>
      <c r="F151" s="215" t="s">
        <v>886</v>
      </c>
      <c r="G151" s="36"/>
      <c r="H151" s="36"/>
      <c r="I151" s="220">
        <v>4890.7</v>
      </c>
      <c r="J151" s="215"/>
      <c r="K151" s="170" t="s">
        <v>87</v>
      </c>
      <c r="L151" s="89"/>
      <c r="M151" s="89"/>
      <c r="N151" s="89"/>
      <c r="O151" s="175"/>
    </row>
    <row r="152" spans="1:15" ht="15" customHeight="1" x14ac:dyDescent="0.25">
      <c r="A152" s="87" t="s">
        <v>803</v>
      </c>
      <c r="B152" s="39" t="s">
        <v>804</v>
      </c>
      <c r="C152" s="39">
        <v>2010</v>
      </c>
      <c r="D152" s="36" t="s">
        <v>800</v>
      </c>
      <c r="E152" s="36" t="s">
        <v>887</v>
      </c>
      <c r="F152" s="215" t="s">
        <v>888</v>
      </c>
      <c r="G152" s="36"/>
      <c r="H152" s="36"/>
      <c r="I152" s="220">
        <v>11686.07</v>
      </c>
      <c r="J152" s="215"/>
      <c r="K152" s="170" t="s">
        <v>88</v>
      </c>
      <c r="L152" s="89"/>
      <c r="M152" s="89"/>
      <c r="N152" s="89"/>
      <c r="O152" s="175"/>
    </row>
    <row r="153" spans="1:15" ht="15" customHeight="1" x14ac:dyDescent="0.25">
      <c r="A153" s="87" t="s">
        <v>805</v>
      </c>
      <c r="B153" s="36" t="s">
        <v>806</v>
      </c>
      <c r="C153" s="39">
        <v>2010</v>
      </c>
      <c r="D153" s="36" t="s">
        <v>800</v>
      </c>
      <c r="E153" s="36" t="s">
        <v>887</v>
      </c>
      <c r="F153" s="38" t="s">
        <v>888</v>
      </c>
      <c r="G153" s="36"/>
      <c r="H153" s="36"/>
      <c r="I153" s="220">
        <v>5066.13</v>
      </c>
      <c r="J153" s="215"/>
      <c r="K153" s="170" t="s">
        <v>88</v>
      </c>
      <c r="L153" s="89"/>
      <c r="M153" s="89"/>
      <c r="N153" s="89"/>
      <c r="O153" s="175"/>
    </row>
    <row r="154" spans="1:15" ht="15" customHeight="1" x14ac:dyDescent="0.25">
      <c r="A154" s="87" t="s">
        <v>807</v>
      </c>
      <c r="B154" s="36" t="s">
        <v>808</v>
      </c>
      <c r="C154" s="39">
        <v>2010</v>
      </c>
      <c r="D154" s="36" t="s">
        <v>800</v>
      </c>
      <c r="E154" s="36" t="s">
        <v>887</v>
      </c>
      <c r="F154" s="38" t="s">
        <v>888</v>
      </c>
      <c r="G154" s="36"/>
      <c r="H154" s="36"/>
      <c r="I154" s="220">
        <v>4108.33</v>
      </c>
      <c r="J154" s="215"/>
      <c r="K154" s="170" t="s">
        <v>88</v>
      </c>
      <c r="L154" s="89"/>
      <c r="M154" s="89"/>
      <c r="N154" s="89"/>
      <c r="O154" s="175"/>
    </row>
    <row r="155" spans="1:15" ht="15" customHeight="1" x14ac:dyDescent="0.25">
      <c r="A155" s="87" t="s">
        <v>809</v>
      </c>
      <c r="B155" s="36" t="s">
        <v>810</v>
      </c>
      <c r="C155" s="39">
        <v>2010</v>
      </c>
      <c r="D155" s="36" t="s">
        <v>800</v>
      </c>
      <c r="E155" s="36" t="s">
        <v>887</v>
      </c>
      <c r="F155" s="38" t="s">
        <v>888</v>
      </c>
      <c r="G155" s="36"/>
      <c r="H155" s="36"/>
      <c r="I155" s="220">
        <v>7680.65</v>
      </c>
      <c r="J155" s="215"/>
      <c r="K155" s="170" t="s">
        <v>88</v>
      </c>
      <c r="L155" s="89"/>
      <c r="M155" s="89"/>
      <c r="N155" s="89"/>
      <c r="O155" s="175"/>
    </row>
    <row r="156" spans="1:15" ht="15" customHeight="1" x14ac:dyDescent="0.25">
      <c r="A156" s="87" t="s">
        <v>811</v>
      </c>
      <c r="B156" s="33" t="s">
        <v>812</v>
      </c>
      <c r="C156" s="35">
        <v>2010</v>
      </c>
      <c r="D156" s="33" t="s">
        <v>800</v>
      </c>
      <c r="E156" s="33" t="s">
        <v>887</v>
      </c>
      <c r="F156" s="34" t="s">
        <v>888</v>
      </c>
      <c r="G156" s="33"/>
      <c r="H156" s="33"/>
      <c r="I156" s="221">
        <v>9440.32</v>
      </c>
      <c r="J156" s="215"/>
      <c r="K156" s="170" t="s">
        <v>88</v>
      </c>
      <c r="L156" s="89"/>
      <c r="M156" s="89"/>
      <c r="N156" s="89"/>
      <c r="O156" s="175"/>
    </row>
    <row r="157" spans="1:15" ht="15" customHeight="1" x14ac:dyDescent="0.25">
      <c r="A157" s="87" t="s">
        <v>815</v>
      </c>
      <c r="B157" s="33" t="s">
        <v>816</v>
      </c>
      <c r="C157" s="35">
        <v>2010</v>
      </c>
      <c r="D157" s="33" t="s">
        <v>800</v>
      </c>
      <c r="E157" s="33" t="s">
        <v>889</v>
      </c>
      <c r="F157" s="34" t="s">
        <v>890</v>
      </c>
      <c r="G157" s="33"/>
      <c r="H157" s="33"/>
      <c r="I157" s="221">
        <v>16.100000000000001</v>
      </c>
      <c r="J157" s="215"/>
      <c r="K157" s="170" t="s">
        <v>95</v>
      </c>
      <c r="L157" s="89"/>
      <c r="M157" s="89"/>
      <c r="N157" s="89"/>
      <c r="O157" s="175"/>
    </row>
    <row r="158" spans="1:15" ht="15" customHeight="1" x14ac:dyDescent="0.25">
      <c r="A158" s="87" t="s">
        <v>803</v>
      </c>
      <c r="B158" s="39" t="s">
        <v>804</v>
      </c>
      <c r="C158" s="39">
        <v>2010</v>
      </c>
      <c r="D158" s="36" t="s">
        <v>800</v>
      </c>
      <c r="E158" s="36" t="s">
        <v>891</v>
      </c>
      <c r="F158" s="215" t="s">
        <v>892</v>
      </c>
      <c r="G158" s="36"/>
      <c r="H158" s="36"/>
      <c r="I158" s="220">
        <v>491.07</v>
      </c>
      <c r="J158" s="215"/>
      <c r="K158" s="170" t="s">
        <v>88</v>
      </c>
      <c r="L158" s="89"/>
      <c r="M158" s="89"/>
      <c r="N158" s="89"/>
      <c r="O158" s="175"/>
    </row>
    <row r="159" spans="1:15" ht="15" customHeight="1" x14ac:dyDescent="0.25">
      <c r="A159" s="87" t="s">
        <v>805</v>
      </c>
      <c r="B159" s="36" t="s">
        <v>806</v>
      </c>
      <c r="C159" s="39">
        <v>2010</v>
      </c>
      <c r="D159" s="36" t="s">
        <v>800</v>
      </c>
      <c r="E159" s="36" t="s">
        <v>891</v>
      </c>
      <c r="F159" s="38" t="s">
        <v>892</v>
      </c>
      <c r="G159" s="36"/>
      <c r="H159" s="36"/>
      <c r="I159" s="220">
        <v>212929.42</v>
      </c>
      <c r="J159" s="215"/>
      <c r="K159" s="170" t="s">
        <v>88</v>
      </c>
      <c r="L159" s="89"/>
      <c r="M159" s="89"/>
      <c r="N159" s="89"/>
      <c r="O159" s="175"/>
    </row>
    <row r="160" spans="1:15" ht="15" customHeight="1" x14ac:dyDescent="0.25">
      <c r="A160" s="87" t="s">
        <v>893</v>
      </c>
      <c r="B160" s="33" t="s">
        <v>894</v>
      </c>
      <c r="C160" s="35">
        <v>2010</v>
      </c>
      <c r="D160" s="33" t="s">
        <v>800</v>
      </c>
      <c r="E160" s="33" t="s">
        <v>891</v>
      </c>
      <c r="F160" s="34" t="s">
        <v>892</v>
      </c>
      <c r="G160" s="33"/>
      <c r="H160" s="33"/>
      <c r="I160" s="221">
        <v>-10758</v>
      </c>
      <c r="J160" s="215"/>
      <c r="K160" s="170" t="s">
        <v>88</v>
      </c>
      <c r="L160" s="89"/>
      <c r="M160" s="89"/>
      <c r="N160" s="89"/>
      <c r="O160" s="175"/>
    </row>
    <row r="161" spans="1:15" ht="15" customHeight="1" x14ac:dyDescent="0.25">
      <c r="A161" s="87" t="s">
        <v>798</v>
      </c>
      <c r="B161" s="39" t="s">
        <v>799</v>
      </c>
      <c r="C161" s="39">
        <v>2010</v>
      </c>
      <c r="D161" s="36" t="s">
        <v>800</v>
      </c>
      <c r="E161" s="36" t="s">
        <v>891</v>
      </c>
      <c r="F161" s="215" t="s">
        <v>892</v>
      </c>
      <c r="G161" s="36"/>
      <c r="H161" s="36"/>
      <c r="I161" s="220">
        <v>78321.539999999994</v>
      </c>
      <c r="J161" s="215"/>
      <c r="K161" s="170" t="s">
        <v>87</v>
      </c>
      <c r="L161" s="89"/>
      <c r="M161" s="89"/>
      <c r="N161" s="89"/>
      <c r="O161" s="175"/>
    </row>
    <row r="162" spans="1:15" ht="15" customHeight="1" x14ac:dyDescent="0.25">
      <c r="A162" s="87" t="s">
        <v>803</v>
      </c>
      <c r="B162" s="39" t="s">
        <v>804</v>
      </c>
      <c r="C162" s="39">
        <v>2010</v>
      </c>
      <c r="D162" s="36" t="s">
        <v>800</v>
      </c>
      <c r="E162" s="36" t="s">
        <v>895</v>
      </c>
      <c r="F162" s="215" t="s">
        <v>896</v>
      </c>
      <c r="G162" s="36"/>
      <c r="H162" s="36"/>
      <c r="I162" s="220">
        <v>12782.14</v>
      </c>
      <c r="J162" s="215"/>
      <c r="K162" s="170" t="s">
        <v>88</v>
      </c>
      <c r="L162" s="89"/>
      <c r="M162" s="89"/>
      <c r="N162" s="89"/>
      <c r="O162" s="175"/>
    </row>
    <row r="163" spans="1:15" ht="15" customHeight="1" x14ac:dyDescent="0.25">
      <c r="A163" s="87" t="s">
        <v>803</v>
      </c>
      <c r="B163" s="39" t="s">
        <v>804</v>
      </c>
      <c r="C163" s="39">
        <v>2010</v>
      </c>
      <c r="D163" s="36" t="s">
        <v>800</v>
      </c>
      <c r="E163" s="36" t="s">
        <v>897</v>
      </c>
      <c r="F163" s="215" t="s">
        <v>898</v>
      </c>
      <c r="G163" s="36"/>
      <c r="H163" s="36"/>
      <c r="I163" s="220">
        <v>23402.9</v>
      </c>
      <c r="J163" s="215"/>
      <c r="K163" s="170" t="s">
        <v>88</v>
      </c>
      <c r="L163" s="89"/>
      <c r="M163" s="89"/>
      <c r="N163" s="89"/>
      <c r="O163" s="175"/>
    </row>
    <row r="164" spans="1:15" ht="15" customHeight="1" x14ac:dyDescent="0.25">
      <c r="A164" s="87" t="s">
        <v>805</v>
      </c>
      <c r="B164" s="36" t="s">
        <v>806</v>
      </c>
      <c r="C164" s="39">
        <v>2010</v>
      </c>
      <c r="D164" s="36" t="s">
        <v>800</v>
      </c>
      <c r="E164" s="36" t="s">
        <v>897</v>
      </c>
      <c r="F164" s="38" t="s">
        <v>898</v>
      </c>
      <c r="G164" s="36"/>
      <c r="H164" s="36"/>
      <c r="I164" s="220">
        <v>5678.09</v>
      </c>
      <c r="J164" s="215"/>
      <c r="K164" s="170" t="s">
        <v>88</v>
      </c>
      <c r="L164" s="89"/>
      <c r="M164" s="89"/>
      <c r="N164" s="89"/>
      <c r="O164" s="175"/>
    </row>
    <row r="165" spans="1:15" ht="15" customHeight="1" x14ac:dyDescent="0.25">
      <c r="A165" s="87" t="s">
        <v>807</v>
      </c>
      <c r="B165" s="36" t="s">
        <v>808</v>
      </c>
      <c r="C165" s="39">
        <v>2010</v>
      </c>
      <c r="D165" s="36" t="s">
        <v>800</v>
      </c>
      <c r="E165" s="36" t="s">
        <v>897</v>
      </c>
      <c r="F165" s="38" t="s">
        <v>898</v>
      </c>
      <c r="G165" s="36"/>
      <c r="H165" s="36"/>
      <c r="I165" s="220">
        <v>7420.51</v>
      </c>
      <c r="J165" s="215"/>
      <c r="K165" s="170" t="s">
        <v>88</v>
      </c>
      <c r="L165" s="89"/>
      <c r="M165" s="89"/>
      <c r="N165" s="89"/>
      <c r="O165" s="175"/>
    </row>
    <row r="166" spans="1:15" ht="15" customHeight="1" x14ac:dyDescent="0.25">
      <c r="A166" s="87" t="s">
        <v>809</v>
      </c>
      <c r="B166" s="36" t="s">
        <v>810</v>
      </c>
      <c r="C166" s="39">
        <v>2010</v>
      </c>
      <c r="D166" s="36" t="s">
        <v>800</v>
      </c>
      <c r="E166" s="36" t="s">
        <v>897</v>
      </c>
      <c r="F166" s="38" t="s">
        <v>898</v>
      </c>
      <c r="G166" s="36"/>
      <c r="H166" s="36"/>
      <c r="I166" s="220">
        <v>11364</v>
      </c>
      <c r="J166" s="215"/>
      <c r="K166" s="170" t="s">
        <v>88</v>
      </c>
      <c r="L166" s="89"/>
      <c r="M166" s="89"/>
      <c r="N166" s="89"/>
      <c r="O166" s="175"/>
    </row>
    <row r="167" spans="1:15" ht="15" customHeight="1" x14ac:dyDescent="0.25">
      <c r="A167" s="87" t="s">
        <v>811</v>
      </c>
      <c r="B167" s="33" t="s">
        <v>812</v>
      </c>
      <c r="C167" s="35">
        <v>2010</v>
      </c>
      <c r="D167" s="33" t="s">
        <v>800</v>
      </c>
      <c r="E167" s="33" t="s">
        <v>897</v>
      </c>
      <c r="F167" s="34" t="s">
        <v>898</v>
      </c>
      <c r="G167" s="33"/>
      <c r="H167" s="33"/>
      <c r="I167" s="221">
        <v>20472.009999999998</v>
      </c>
      <c r="J167" s="215"/>
      <c r="K167" s="170" t="s">
        <v>88</v>
      </c>
      <c r="L167" s="89"/>
      <c r="M167" s="89"/>
      <c r="N167" s="89"/>
      <c r="O167" s="175"/>
    </row>
    <row r="168" spans="1:15" ht="15" customHeight="1" x14ac:dyDescent="0.25">
      <c r="A168" s="87" t="s">
        <v>798</v>
      </c>
      <c r="B168" s="39" t="s">
        <v>799</v>
      </c>
      <c r="C168" s="39">
        <v>2010</v>
      </c>
      <c r="D168" s="36" t="s">
        <v>800</v>
      </c>
      <c r="E168" s="36" t="s">
        <v>897</v>
      </c>
      <c r="F168" s="215" t="s">
        <v>898</v>
      </c>
      <c r="G168" s="36"/>
      <c r="H168" s="36"/>
      <c r="I168" s="220">
        <v>50492.04</v>
      </c>
      <c r="J168" s="215"/>
      <c r="K168" s="170" t="s">
        <v>87</v>
      </c>
      <c r="L168" s="89"/>
      <c r="M168" s="89"/>
      <c r="N168" s="89"/>
      <c r="O168" s="175"/>
    </row>
    <row r="169" spans="1:15" ht="15" customHeight="1" x14ac:dyDescent="0.25">
      <c r="A169" s="87" t="s">
        <v>805</v>
      </c>
      <c r="B169" s="36" t="s">
        <v>806</v>
      </c>
      <c r="C169" s="39">
        <v>2010</v>
      </c>
      <c r="D169" s="36" t="s">
        <v>800</v>
      </c>
      <c r="E169" s="36" t="s">
        <v>899</v>
      </c>
      <c r="F169" s="38" t="s">
        <v>900</v>
      </c>
      <c r="G169" s="36"/>
      <c r="H169" s="36"/>
      <c r="I169" s="220">
        <v>2928.94</v>
      </c>
      <c r="J169" s="215"/>
      <c r="K169" s="170" t="s">
        <v>88</v>
      </c>
      <c r="L169" s="89"/>
      <c r="M169" s="89"/>
      <c r="N169" s="89"/>
      <c r="O169" s="175"/>
    </row>
    <row r="170" spans="1:15" ht="15" customHeight="1" x14ac:dyDescent="0.25">
      <c r="A170" s="87" t="s">
        <v>803</v>
      </c>
      <c r="B170" s="39" t="s">
        <v>804</v>
      </c>
      <c r="C170" s="39">
        <v>2010</v>
      </c>
      <c r="D170" s="36" t="s">
        <v>800</v>
      </c>
      <c r="E170" s="36" t="s">
        <v>901</v>
      </c>
      <c r="F170" s="215" t="s">
        <v>902</v>
      </c>
      <c r="G170" s="36"/>
      <c r="H170" s="36"/>
      <c r="I170" s="220">
        <v>5065</v>
      </c>
      <c r="J170" s="215"/>
      <c r="K170" s="170" t="s">
        <v>88</v>
      </c>
      <c r="L170" s="89"/>
      <c r="M170" s="89"/>
      <c r="N170" s="89"/>
      <c r="O170" s="175"/>
    </row>
    <row r="171" spans="1:15" ht="15" customHeight="1" x14ac:dyDescent="0.25">
      <c r="A171" s="87" t="s">
        <v>805</v>
      </c>
      <c r="B171" s="36" t="s">
        <v>806</v>
      </c>
      <c r="C171" s="39">
        <v>2010</v>
      </c>
      <c r="D171" s="36" t="s">
        <v>800</v>
      </c>
      <c r="E171" s="36" t="s">
        <v>901</v>
      </c>
      <c r="F171" s="38" t="s">
        <v>902</v>
      </c>
      <c r="G171" s="36"/>
      <c r="H171" s="36"/>
      <c r="I171" s="220">
        <v>9443.39</v>
      </c>
      <c r="J171" s="215"/>
      <c r="K171" s="170" t="s">
        <v>88</v>
      </c>
      <c r="L171" s="89"/>
      <c r="M171" s="89"/>
      <c r="N171" s="89"/>
      <c r="O171" s="175"/>
    </row>
    <row r="172" spans="1:15" ht="15" customHeight="1" x14ac:dyDescent="0.25">
      <c r="A172" s="87" t="s">
        <v>807</v>
      </c>
      <c r="B172" s="36" t="s">
        <v>808</v>
      </c>
      <c r="C172" s="39">
        <v>2010</v>
      </c>
      <c r="D172" s="36" t="s">
        <v>800</v>
      </c>
      <c r="E172" s="36" t="s">
        <v>901</v>
      </c>
      <c r="F172" s="38" t="s">
        <v>902</v>
      </c>
      <c r="G172" s="36"/>
      <c r="H172" s="36"/>
      <c r="I172" s="220">
        <v>140</v>
      </c>
      <c r="J172" s="215"/>
      <c r="K172" s="170" t="s">
        <v>88</v>
      </c>
      <c r="L172" s="89"/>
      <c r="M172" s="89"/>
      <c r="N172" s="89"/>
      <c r="O172" s="175"/>
    </row>
    <row r="173" spans="1:15" ht="15" customHeight="1" x14ac:dyDescent="0.25">
      <c r="A173" s="87" t="s">
        <v>809</v>
      </c>
      <c r="B173" s="36" t="s">
        <v>810</v>
      </c>
      <c r="C173" s="39">
        <v>2010</v>
      </c>
      <c r="D173" s="36" t="s">
        <v>800</v>
      </c>
      <c r="E173" s="36" t="s">
        <v>901</v>
      </c>
      <c r="F173" s="38" t="s">
        <v>902</v>
      </c>
      <c r="G173" s="36"/>
      <c r="H173" s="36"/>
      <c r="I173" s="220">
        <v>472.44</v>
      </c>
      <c r="J173" s="215"/>
      <c r="K173" s="170" t="s">
        <v>88</v>
      </c>
      <c r="L173" s="89"/>
      <c r="M173" s="89"/>
      <c r="N173" s="89"/>
      <c r="O173" s="175"/>
    </row>
    <row r="174" spans="1:15" ht="15" customHeight="1" x14ac:dyDescent="0.25">
      <c r="A174" s="87" t="s">
        <v>811</v>
      </c>
      <c r="B174" s="33" t="s">
        <v>812</v>
      </c>
      <c r="C174" s="35">
        <v>2010</v>
      </c>
      <c r="D174" s="33" t="s">
        <v>800</v>
      </c>
      <c r="E174" s="33" t="s">
        <v>901</v>
      </c>
      <c r="F174" s="34" t="s">
        <v>902</v>
      </c>
      <c r="G174" s="33"/>
      <c r="H174" s="33"/>
      <c r="I174" s="221">
        <v>2682.26</v>
      </c>
      <c r="J174" s="215"/>
      <c r="K174" s="170" t="s">
        <v>88</v>
      </c>
      <c r="L174" s="89"/>
      <c r="M174" s="89"/>
      <c r="N174" s="89"/>
      <c r="O174" s="175"/>
    </row>
    <row r="175" spans="1:15" ht="15" customHeight="1" x14ac:dyDescent="0.25">
      <c r="A175" s="87" t="s">
        <v>893</v>
      </c>
      <c r="B175" s="33" t="s">
        <v>894</v>
      </c>
      <c r="C175" s="35">
        <v>2010</v>
      </c>
      <c r="D175" s="33" t="s">
        <v>800</v>
      </c>
      <c r="E175" s="33" t="s">
        <v>901</v>
      </c>
      <c r="F175" s="34" t="s">
        <v>902</v>
      </c>
      <c r="G175" s="33"/>
      <c r="H175" s="33"/>
      <c r="I175" s="221">
        <v>706.41</v>
      </c>
      <c r="J175" s="215"/>
      <c r="K175" s="170" t="s">
        <v>88</v>
      </c>
      <c r="L175" s="89"/>
      <c r="M175" s="89"/>
      <c r="N175" s="89"/>
      <c r="O175" s="175"/>
    </row>
    <row r="176" spans="1:15" ht="15" customHeight="1" x14ac:dyDescent="0.25">
      <c r="A176" s="87" t="s">
        <v>798</v>
      </c>
      <c r="B176" s="39" t="s">
        <v>799</v>
      </c>
      <c r="C176" s="39">
        <v>2010</v>
      </c>
      <c r="D176" s="36" t="s">
        <v>800</v>
      </c>
      <c r="E176" s="36" t="s">
        <v>901</v>
      </c>
      <c r="F176" s="215" t="s">
        <v>902</v>
      </c>
      <c r="G176" s="36"/>
      <c r="H176" s="36"/>
      <c r="I176" s="220">
        <v>481320.98</v>
      </c>
      <c r="J176" s="215"/>
      <c r="K176" s="170" t="s">
        <v>87</v>
      </c>
      <c r="L176" s="89"/>
      <c r="M176" s="89"/>
      <c r="N176" s="89"/>
      <c r="O176" s="175"/>
    </row>
    <row r="177" spans="1:15" ht="15" customHeight="1" x14ac:dyDescent="0.25">
      <c r="A177" s="87" t="s">
        <v>803</v>
      </c>
      <c r="B177" s="39" t="s">
        <v>804</v>
      </c>
      <c r="C177" s="39">
        <v>2010</v>
      </c>
      <c r="D177" s="36" t="s">
        <v>800</v>
      </c>
      <c r="E177" s="36" t="s">
        <v>903</v>
      </c>
      <c r="F177" s="215" t="s">
        <v>904</v>
      </c>
      <c r="G177" s="36"/>
      <c r="H177" s="36"/>
      <c r="I177" s="220">
        <v>11739.01</v>
      </c>
      <c r="J177" s="215"/>
      <c r="K177" s="170" t="s">
        <v>88</v>
      </c>
      <c r="L177" s="89"/>
      <c r="M177" s="89"/>
      <c r="N177" s="89"/>
      <c r="O177" s="175"/>
    </row>
    <row r="178" spans="1:15" ht="15" customHeight="1" x14ac:dyDescent="0.25">
      <c r="A178" s="87" t="s">
        <v>805</v>
      </c>
      <c r="B178" s="36" t="s">
        <v>806</v>
      </c>
      <c r="C178" s="39">
        <v>2010</v>
      </c>
      <c r="D178" s="36" t="s">
        <v>800</v>
      </c>
      <c r="E178" s="36" t="s">
        <v>903</v>
      </c>
      <c r="F178" s="38" t="s">
        <v>904</v>
      </c>
      <c r="G178" s="36"/>
      <c r="H178" s="36"/>
      <c r="I178" s="220">
        <v>44942.54</v>
      </c>
      <c r="J178" s="215"/>
      <c r="K178" s="170" t="s">
        <v>88</v>
      </c>
      <c r="L178" s="89"/>
      <c r="M178" s="89"/>
      <c r="N178" s="89"/>
      <c r="O178" s="175"/>
    </row>
    <row r="179" spans="1:15" ht="15" customHeight="1" x14ac:dyDescent="0.25">
      <c r="A179" s="87" t="s">
        <v>798</v>
      </c>
      <c r="B179" s="39" t="s">
        <v>799</v>
      </c>
      <c r="C179" s="39">
        <v>2010</v>
      </c>
      <c r="D179" s="36" t="s">
        <v>800</v>
      </c>
      <c r="E179" s="36" t="s">
        <v>905</v>
      </c>
      <c r="F179" s="215" t="s">
        <v>906</v>
      </c>
      <c r="G179" s="36"/>
      <c r="H179" s="36"/>
      <c r="I179" s="220">
        <v>9.2100000000000009</v>
      </c>
      <c r="J179" s="215"/>
      <c r="K179" s="170" t="s">
        <v>87</v>
      </c>
      <c r="L179" s="89"/>
      <c r="M179" s="89"/>
      <c r="N179" s="89"/>
      <c r="O179" s="175"/>
    </row>
    <row r="180" spans="1:15" ht="15" customHeight="1" x14ac:dyDescent="0.25">
      <c r="A180" s="87" t="s">
        <v>803</v>
      </c>
      <c r="B180" s="39" t="s">
        <v>804</v>
      </c>
      <c r="C180" s="39">
        <v>2010</v>
      </c>
      <c r="D180" s="36" t="s">
        <v>800</v>
      </c>
      <c r="E180" s="36" t="s">
        <v>907</v>
      </c>
      <c r="F180" s="215" t="s">
        <v>908</v>
      </c>
      <c r="G180" s="36"/>
      <c r="H180" s="36"/>
      <c r="I180" s="220">
        <v>40121.82</v>
      </c>
      <c r="J180" s="215"/>
      <c r="K180" s="170" t="s">
        <v>88</v>
      </c>
      <c r="L180" s="89"/>
      <c r="M180" s="89"/>
      <c r="N180" s="89"/>
      <c r="O180" s="175"/>
    </row>
    <row r="181" spans="1:15" ht="15" customHeight="1" x14ac:dyDescent="0.25">
      <c r="A181" s="87" t="s">
        <v>805</v>
      </c>
      <c r="B181" s="36" t="s">
        <v>806</v>
      </c>
      <c r="C181" s="39">
        <v>2010</v>
      </c>
      <c r="D181" s="36" t="s">
        <v>800</v>
      </c>
      <c r="E181" s="36" t="s">
        <v>907</v>
      </c>
      <c r="F181" s="38" t="s">
        <v>908</v>
      </c>
      <c r="G181" s="36"/>
      <c r="H181" s="36"/>
      <c r="I181" s="220">
        <v>6472.62</v>
      </c>
      <c r="J181" s="215"/>
      <c r="K181" s="170" t="s">
        <v>88</v>
      </c>
      <c r="L181" s="89"/>
      <c r="M181" s="89"/>
      <c r="N181" s="89"/>
      <c r="O181" s="175"/>
    </row>
    <row r="182" spans="1:15" ht="15" customHeight="1" x14ac:dyDescent="0.25">
      <c r="A182" s="87" t="s">
        <v>807</v>
      </c>
      <c r="B182" s="36" t="s">
        <v>808</v>
      </c>
      <c r="C182" s="39">
        <v>2010</v>
      </c>
      <c r="D182" s="36" t="s">
        <v>800</v>
      </c>
      <c r="E182" s="36" t="s">
        <v>907</v>
      </c>
      <c r="F182" s="38" t="s">
        <v>908</v>
      </c>
      <c r="G182" s="36"/>
      <c r="H182" s="36"/>
      <c r="I182" s="220">
        <v>92242.04</v>
      </c>
      <c r="J182" s="215"/>
      <c r="K182" s="170" t="s">
        <v>88</v>
      </c>
      <c r="L182" s="89"/>
      <c r="M182" s="89"/>
      <c r="N182" s="89"/>
      <c r="O182" s="175"/>
    </row>
    <row r="183" spans="1:15" ht="15" customHeight="1" x14ac:dyDescent="0.25">
      <c r="A183" s="87" t="s">
        <v>809</v>
      </c>
      <c r="B183" s="36" t="s">
        <v>810</v>
      </c>
      <c r="C183" s="39">
        <v>2010</v>
      </c>
      <c r="D183" s="36" t="s">
        <v>800</v>
      </c>
      <c r="E183" s="36" t="s">
        <v>907</v>
      </c>
      <c r="F183" s="38" t="s">
        <v>908</v>
      </c>
      <c r="G183" s="36"/>
      <c r="H183" s="36"/>
      <c r="I183" s="220">
        <v>11067.71</v>
      </c>
      <c r="J183" s="215"/>
      <c r="K183" s="170" t="s">
        <v>88</v>
      </c>
      <c r="L183" s="89"/>
      <c r="M183" s="89"/>
      <c r="N183" s="89"/>
      <c r="O183" s="175"/>
    </row>
    <row r="184" spans="1:15" ht="15" customHeight="1" x14ac:dyDescent="0.25">
      <c r="A184" s="87" t="s">
        <v>811</v>
      </c>
      <c r="B184" s="33" t="s">
        <v>812</v>
      </c>
      <c r="C184" s="35">
        <v>2010</v>
      </c>
      <c r="D184" s="33" t="s">
        <v>800</v>
      </c>
      <c r="E184" s="33" t="s">
        <v>907</v>
      </c>
      <c r="F184" s="34" t="s">
        <v>908</v>
      </c>
      <c r="G184" s="33"/>
      <c r="H184" s="33"/>
      <c r="I184" s="221">
        <v>45344.02</v>
      </c>
      <c r="J184" s="215"/>
      <c r="K184" s="170" t="s">
        <v>88</v>
      </c>
      <c r="L184" s="89"/>
      <c r="M184" s="89"/>
      <c r="N184" s="89"/>
      <c r="O184" s="175"/>
    </row>
    <row r="185" spans="1:15" ht="15" customHeight="1" x14ac:dyDescent="0.25">
      <c r="A185" s="87" t="s">
        <v>798</v>
      </c>
      <c r="B185" s="39" t="s">
        <v>799</v>
      </c>
      <c r="C185" s="39">
        <v>2010</v>
      </c>
      <c r="D185" s="36" t="s">
        <v>800</v>
      </c>
      <c r="E185" s="36" t="s">
        <v>907</v>
      </c>
      <c r="F185" s="215" t="s">
        <v>908</v>
      </c>
      <c r="G185" s="36"/>
      <c r="H185" s="36"/>
      <c r="I185" s="220">
        <v>17600</v>
      </c>
      <c r="J185" s="215"/>
      <c r="K185" s="170" t="s">
        <v>87</v>
      </c>
      <c r="L185" s="89"/>
      <c r="M185" s="89"/>
      <c r="N185" s="89"/>
      <c r="O185" s="175"/>
    </row>
    <row r="186" spans="1:15" ht="15" customHeight="1" x14ac:dyDescent="0.25">
      <c r="A186" s="87" t="s">
        <v>803</v>
      </c>
      <c r="B186" s="39" t="s">
        <v>804</v>
      </c>
      <c r="C186" s="39">
        <v>2010</v>
      </c>
      <c r="D186" s="36" t="s">
        <v>800</v>
      </c>
      <c r="E186" s="36" t="s">
        <v>909</v>
      </c>
      <c r="F186" s="215" t="s">
        <v>910</v>
      </c>
      <c r="G186" s="36"/>
      <c r="H186" s="36"/>
      <c r="I186" s="220">
        <v>1300.96</v>
      </c>
      <c r="J186" s="215"/>
      <c r="K186" s="170" t="s">
        <v>88</v>
      </c>
      <c r="L186" s="89"/>
      <c r="M186" s="89"/>
      <c r="N186" s="89"/>
      <c r="O186" s="175"/>
    </row>
    <row r="187" spans="1:15" ht="15" customHeight="1" x14ac:dyDescent="0.25">
      <c r="A187" s="87" t="s">
        <v>807</v>
      </c>
      <c r="B187" s="36" t="s">
        <v>808</v>
      </c>
      <c r="C187" s="39">
        <v>2010</v>
      </c>
      <c r="D187" s="36" t="s">
        <v>800</v>
      </c>
      <c r="E187" s="36" t="s">
        <v>909</v>
      </c>
      <c r="F187" s="38" t="s">
        <v>910</v>
      </c>
      <c r="G187" s="36"/>
      <c r="H187" s="36"/>
      <c r="I187" s="220">
        <v>509.5</v>
      </c>
      <c r="J187" s="215"/>
      <c r="K187" s="170" t="s">
        <v>88</v>
      </c>
      <c r="L187" s="89"/>
      <c r="M187" s="89"/>
      <c r="N187" s="89"/>
      <c r="O187" s="175"/>
    </row>
    <row r="188" spans="1:15" ht="15" customHeight="1" x14ac:dyDescent="0.25">
      <c r="A188" s="87" t="s">
        <v>811</v>
      </c>
      <c r="B188" s="33" t="s">
        <v>812</v>
      </c>
      <c r="C188" s="35">
        <v>2010</v>
      </c>
      <c r="D188" s="33" t="s">
        <v>800</v>
      </c>
      <c r="E188" s="33" t="s">
        <v>909</v>
      </c>
      <c r="F188" s="34" t="s">
        <v>910</v>
      </c>
      <c r="G188" s="33"/>
      <c r="H188" s="33"/>
      <c r="I188" s="221">
        <v>8071.2</v>
      </c>
      <c r="J188" s="215"/>
      <c r="K188" s="170" t="s">
        <v>88</v>
      </c>
      <c r="L188" s="89"/>
      <c r="M188" s="89"/>
      <c r="N188" s="89"/>
      <c r="O188" s="175"/>
    </row>
    <row r="189" spans="1:15" ht="15" customHeight="1" x14ac:dyDescent="0.25">
      <c r="A189" s="87" t="s">
        <v>803</v>
      </c>
      <c r="B189" s="39" t="s">
        <v>804</v>
      </c>
      <c r="C189" s="39">
        <v>2010</v>
      </c>
      <c r="D189" s="36" t="s">
        <v>800</v>
      </c>
      <c r="E189" s="36" t="s">
        <v>911</v>
      </c>
      <c r="F189" s="38" t="s">
        <v>912</v>
      </c>
      <c r="G189" s="36"/>
      <c r="H189" s="36"/>
      <c r="I189" s="220">
        <v>5313</v>
      </c>
      <c r="J189" s="215"/>
      <c r="K189" s="170" t="s">
        <v>88</v>
      </c>
      <c r="L189" s="89"/>
      <c r="M189" s="89"/>
      <c r="N189" s="89"/>
      <c r="O189" s="175"/>
    </row>
    <row r="190" spans="1:15" ht="15" customHeight="1" x14ac:dyDescent="0.25">
      <c r="A190" s="87" t="s">
        <v>805</v>
      </c>
      <c r="B190" s="36" t="s">
        <v>806</v>
      </c>
      <c r="C190" s="39">
        <v>2010</v>
      </c>
      <c r="D190" s="36" t="s">
        <v>800</v>
      </c>
      <c r="E190" s="36" t="s">
        <v>911</v>
      </c>
      <c r="F190" s="38" t="s">
        <v>912</v>
      </c>
      <c r="G190" s="36"/>
      <c r="H190" s="36"/>
      <c r="I190" s="220">
        <v>3510</v>
      </c>
      <c r="J190" s="215"/>
      <c r="K190" s="170" t="s">
        <v>88</v>
      </c>
      <c r="L190" s="89"/>
      <c r="M190" s="89"/>
      <c r="N190" s="89"/>
      <c r="O190" s="175"/>
    </row>
    <row r="191" spans="1:15" ht="15" customHeight="1" x14ac:dyDescent="0.25">
      <c r="A191" s="87" t="s">
        <v>807</v>
      </c>
      <c r="B191" s="36" t="s">
        <v>808</v>
      </c>
      <c r="C191" s="39">
        <v>2010</v>
      </c>
      <c r="D191" s="36" t="s">
        <v>800</v>
      </c>
      <c r="E191" s="36" t="s">
        <v>911</v>
      </c>
      <c r="F191" s="38" t="s">
        <v>912</v>
      </c>
      <c r="G191" s="36"/>
      <c r="H191" s="36"/>
      <c r="I191" s="220">
        <v>20895.400000000001</v>
      </c>
      <c r="J191" s="215"/>
      <c r="K191" s="170" t="s">
        <v>88</v>
      </c>
      <c r="L191" s="89"/>
      <c r="M191" s="89"/>
      <c r="N191" s="89"/>
      <c r="O191" s="175"/>
    </row>
    <row r="192" spans="1:15" ht="15" customHeight="1" x14ac:dyDescent="0.25">
      <c r="A192" s="87" t="s">
        <v>809</v>
      </c>
      <c r="B192" s="36" t="s">
        <v>810</v>
      </c>
      <c r="C192" s="39">
        <v>2010</v>
      </c>
      <c r="D192" s="36" t="s">
        <v>800</v>
      </c>
      <c r="E192" s="36" t="s">
        <v>911</v>
      </c>
      <c r="F192" s="38" t="s">
        <v>912</v>
      </c>
      <c r="G192" s="36"/>
      <c r="H192" s="36"/>
      <c r="I192" s="220">
        <v>7194</v>
      </c>
      <c r="J192" s="215"/>
      <c r="K192" s="170" t="s">
        <v>88</v>
      </c>
      <c r="L192" s="89"/>
      <c r="M192" s="89"/>
      <c r="N192" s="89"/>
      <c r="O192" s="175"/>
    </row>
    <row r="193" spans="1:15" ht="15" customHeight="1" x14ac:dyDescent="0.25">
      <c r="A193" s="87" t="s">
        <v>811</v>
      </c>
      <c r="B193" s="33" t="s">
        <v>812</v>
      </c>
      <c r="C193" s="35">
        <v>2010</v>
      </c>
      <c r="D193" s="33" t="s">
        <v>800</v>
      </c>
      <c r="E193" s="33" t="s">
        <v>911</v>
      </c>
      <c r="F193" s="34" t="s">
        <v>912</v>
      </c>
      <c r="G193" s="33"/>
      <c r="H193" s="33"/>
      <c r="I193" s="221">
        <v>7167</v>
      </c>
      <c r="J193" s="215"/>
      <c r="K193" s="170" t="s">
        <v>88</v>
      </c>
      <c r="L193" s="89"/>
      <c r="M193" s="89"/>
      <c r="N193" s="89"/>
      <c r="O193" s="175"/>
    </row>
    <row r="194" spans="1:15" ht="15" customHeight="1" x14ac:dyDescent="0.25">
      <c r="A194" s="87" t="s">
        <v>798</v>
      </c>
      <c r="B194" s="39" t="s">
        <v>799</v>
      </c>
      <c r="C194" s="39">
        <v>2010</v>
      </c>
      <c r="D194" s="36" t="s">
        <v>800</v>
      </c>
      <c r="E194" s="36" t="s">
        <v>911</v>
      </c>
      <c r="F194" s="215" t="s">
        <v>912</v>
      </c>
      <c r="G194" s="36"/>
      <c r="H194" s="36"/>
      <c r="I194" s="220">
        <v>1024.5</v>
      </c>
      <c r="J194" s="215"/>
      <c r="K194" s="170" t="s">
        <v>87</v>
      </c>
      <c r="L194" s="89"/>
      <c r="M194" s="89"/>
      <c r="N194" s="89"/>
      <c r="O194" s="175"/>
    </row>
    <row r="195" spans="1:15" ht="15" customHeight="1" x14ac:dyDescent="0.25">
      <c r="A195" s="87" t="s">
        <v>803</v>
      </c>
      <c r="B195" s="39" t="s">
        <v>804</v>
      </c>
      <c r="C195" s="39">
        <v>2010</v>
      </c>
      <c r="D195" s="36" t="s">
        <v>800</v>
      </c>
      <c r="E195" s="36" t="s">
        <v>913</v>
      </c>
      <c r="F195" s="38" t="s">
        <v>914</v>
      </c>
      <c r="G195" s="36"/>
      <c r="H195" s="36"/>
      <c r="I195" s="220">
        <v>5095</v>
      </c>
      <c r="J195" s="215"/>
      <c r="K195" s="170" t="s">
        <v>88</v>
      </c>
      <c r="L195" s="89"/>
      <c r="M195" s="89"/>
      <c r="N195" s="89"/>
      <c r="O195" s="175"/>
    </row>
    <row r="196" spans="1:15" ht="15" customHeight="1" x14ac:dyDescent="0.25">
      <c r="A196" s="87" t="s">
        <v>805</v>
      </c>
      <c r="B196" s="36" t="s">
        <v>806</v>
      </c>
      <c r="C196" s="39">
        <v>2010</v>
      </c>
      <c r="D196" s="36" t="s">
        <v>800</v>
      </c>
      <c r="E196" s="36" t="s">
        <v>913</v>
      </c>
      <c r="F196" s="38" t="s">
        <v>914</v>
      </c>
      <c r="G196" s="36"/>
      <c r="H196" s="36"/>
      <c r="I196" s="220">
        <v>5640</v>
      </c>
      <c r="J196" s="215"/>
      <c r="K196" s="170" t="s">
        <v>88</v>
      </c>
      <c r="L196" s="89"/>
      <c r="M196" s="89"/>
      <c r="N196" s="89"/>
      <c r="O196" s="175"/>
    </row>
    <row r="197" spans="1:15" ht="15" customHeight="1" x14ac:dyDescent="0.25">
      <c r="A197" s="87" t="s">
        <v>811</v>
      </c>
      <c r="B197" s="33" t="s">
        <v>812</v>
      </c>
      <c r="C197" s="35">
        <v>2010</v>
      </c>
      <c r="D197" s="33" t="s">
        <v>800</v>
      </c>
      <c r="E197" s="33" t="s">
        <v>913</v>
      </c>
      <c r="F197" s="34" t="s">
        <v>914</v>
      </c>
      <c r="G197" s="33"/>
      <c r="H197" s="33"/>
      <c r="I197" s="221">
        <v>20611.71</v>
      </c>
      <c r="J197" s="215"/>
      <c r="K197" s="170" t="s">
        <v>88</v>
      </c>
      <c r="L197" s="89"/>
      <c r="M197" s="89"/>
      <c r="N197" s="89"/>
      <c r="O197" s="175"/>
    </row>
    <row r="198" spans="1:15" ht="15" customHeight="1" x14ac:dyDescent="0.25">
      <c r="A198" s="87" t="s">
        <v>803</v>
      </c>
      <c r="B198" s="39" t="s">
        <v>804</v>
      </c>
      <c r="C198" s="39">
        <v>2010</v>
      </c>
      <c r="D198" s="36" t="s">
        <v>800</v>
      </c>
      <c r="E198" s="36" t="s">
        <v>915</v>
      </c>
      <c r="F198" s="38" t="s">
        <v>916</v>
      </c>
      <c r="G198" s="36"/>
      <c r="H198" s="36"/>
      <c r="I198" s="220">
        <v>2733</v>
      </c>
      <c r="J198" s="215"/>
      <c r="K198" s="170" t="s">
        <v>88</v>
      </c>
      <c r="L198" s="89"/>
      <c r="M198" s="89"/>
      <c r="N198" s="89"/>
      <c r="O198" s="175"/>
    </row>
    <row r="199" spans="1:15" ht="15" customHeight="1" x14ac:dyDescent="0.25">
      <c r="A199" s="87" t="s">
        <v>805</v>
      </c>
      <c r="B199" s="36" t="s">
        <v>806</v>
      </c>
      <c r="C199" s="39">
        <v>2010</v>
      </c>
      <c r="D199" s="36" t="s">
        <v>800</v>
      </c>
      <c r="E199" s="36" t="s">
        <v>915</v>
      </c>
      <c r="F199" s="38" t="s">
        <v>916</v>
      </c>
      <c r="G199" s="36"/>
      <c r="H199" s="36"/>
      <c r="I199" s="220">
        <v>4478.88</v>
      </c>
      <c r="J199" s="215"/>
      <c r="K199" s="170" t="s">
        <v>88</v>
      </c>
      <c r="L199" s="89"/>
      <c r="M199" s="89"/>
      <c r="N199" s="89"/>
      <c r="O199" s="175"/>
    </row>
    <row r="200" spans="1:15" ht="15" customHeight="1" x14ac:dyDescent="0.25">
      <c r="A200" s="87" t="s">
        <v>807</v>
      </c>
      <c r="B200" s="36" t="s">
        <v>808</v>
      </c>
      <c r="C200" s="39">
        <v>2010</v>
      </c>
      <c r="D200" s="36" t="s">
        <v>800</v>
      </c>
      <c r="E200" s="36" t="s">
        <v>915</v>
      </c>
      <c r="F200" s="38" t="s">
        <v>916</v>
      </c>
      <c r="G200" s="36"/>
      <c r="H200" s="36"/>
      <c r="I200" s="220">
        <v>426.64</v>
      </c>
      <c r="J200" s="215"/>
      <c r="K200" s="170" t="s">
        <v>88</v>
      </c>
      <c r="L200" s="89"/>
      <c r="M200" s="89"/>
      <c r="N200" s="89"/>
      <c r="O200" s="175"/>
    </row>
    <row r="201" spans="1:15" ht="15" customHeight="1" x14ac:dyDescent="0.25">
      <c r="A201" s="87" t="s">
        <v>811</v>
      </c>
      <c r="B201" s="33" t="s">
        <v>812</v>
      </c>
      <c r="C201" s="35">
        <v>2010</v>
      </c>
      <c r="D201" s="33" t="s">
        <v>800</v>
      </c>
      <c r="E201" s="33" t="s">
        <v>915</v>
      </c>
      <c r="F201" s="34" t="s">
        <v>916</v>
      </c>
      <c r="G201" s="33"/>
      <c r="H201" s="33"/>
      <c r="I201" s="221">
        <v>2753.56</v>
      </c>
      <c r="J201" s="215"/>
      <c r="K201" s="170" t="s">
        <v>88</v>
      </c>
      <c r="L201" s="89"/>
      <c r="M201" s="89"/>
      <c r="N201" s="89"/>
      <c r="O201" s="175"/>
    </row>
    <row r="202" spans="1:15" ht="15" customHeight="1" x14ac:dyDescent="0.25">
      <c r="A202" s="87" t="s">
        <v>917</v>
      </c>
      <c r="B202" s="33" t="s">
        <v>918</v>
      </c>
      <c r="C202" s="35">
        <v>2010</v>
      </c>
      <c r="D202" s="33" t="s">
        <v>800</v>
      </c>
      <c r="E202" s="33" t="s">
        <v>915</v>
      </c>
      <c r="F202" s="34" t="s">
        <v>916</v>
      </c>
      <c r="G202" s="33"/>
      <c r="H202" s="33"/>
      <c r="I202" s="221">
        <v>3325.28</v>
      </c>
      <c r="J202" s="215"/>
      <c r="K202" s="170" t="s">
        <v>88</v>
      </c>
      <c r="L202" s="89"/>
      <c r="M202" s="89"/>
      <c r="N202" s="89"/>
      <c r="O202" s="175"/>
    </row>
    <row r="203" spans="1:15" ht="15" customHeight="1" x14ac:dyDescent="0.25">
      <c r="A203" s="87" t="s">
        <v>803</v>
      </c>
      <c r="B203" s="39" t="s">
        <v>804</v>
      </c>
      <c r="C203" s="39">
        <v>2010</v>
      </c>
      <c r="D203" s="36" t="s">
        <v>800</v>
      </c>
      <c r="E203" s="36" t="s">
        <v>919</v>
      </c>
      <c r="F203" s="38" t="s">
        <v>920</v>
      </c>
      <c r="G203" s="36"/>
      <c r="H203" s="36"/>
      <c r="I203" s="220">
        <v>21507</v>
      </c>
      <c r="J203" s="215"/>
      <c r="K203" s="170" t="s">
        <v>88</v>
      </c>
      <c r="L203" s="89"/>
      <c r="M203" s="89"/>
      <c r="N203" s="89"/>
      <c r="O203" s="175"/>
    </row>
    <row r="204" spans="1:15" ht="15" customHeight="1" x14ac:dyDescent="0.25">
      <c r="A204" s="87" t="s">
        <v>917</v>
      </c>
      <c r="B204" s="33" t="s">
        <v>918</v>
      </c>
      <c r="C204" s="35">
        <v>2010</v>
      </c>
      <c r="D204" s="33" t="s">
        <v>800</v>
      </c>
      <c r="E204" s="33" t="s">
        <v>919</v>
      </c>
      <c r="F204" s="34" t="s">
        <v>920</v>
      </c>
      <c r="G204" s="33"/>
      <c r="H204" s="33"/>
      <c r="I204" s="221">
        <v>45000</v>
      </c>
      <c r="J204" s="215"/>
      <c r="K204" s="170" t="s">
        <v>88</v>
      </c>
      <c r="L204" s="89"/>
      <c r="M204" s="89"/>
      <c r="N204" s="89"/>
      <c r="O204" s="175"/>
    </row>
    <row r="205" spans="1:15" ht="15" customHeight="1" x14ac:dyDescent="0.25">
      <c r="A205" s="87" t="s">
        <v>803</v>
      </c>
      <c r="B205" s="39" t="s">
        <v>804</v>
      </c>
      <c r="C205" s="39">
        <v>2010</v>
      </c>
      <c r="D205" s="36" t="s">
        <v>800</v>
      </c>
      <c r="E205" s="36" t="s">
        <v>921</v>
      </c>
      <c r="F205" s="38" t="s">
        <v>922</v>
      </c>
      <c r="G205" s="36"/>
      <c r="H205" s="36"/>
      <c r="I205" s="220">
        <v>2760</v>
      </c>
      <c r="J205" s="215"/>
      <c r="K205" s="170" t="s">
        <v>88</v>
      </c>
      <c r="L205" s="89"/>
      <c r="M205" s="89"/>
      <c r="N205" s="89"/>
      <c r="O205" s="175"/>
    </row>
    <row r="206" spans="1:15" ht="15" customHeight="1" x14ac:dyDescent="0.25">
      <c r="A206" s="87" t="s">
        <v>805</v>
      </c>
      <c r="B206" s="36" t="s">
        <v>806</v>
      </c>
      <c r="C206" s="39">
        <v>2010</v>
      </c>
      <c r="D206" s="36" t="s">
        <v>800</v>
      </c>
      <c r="E206" s="36" t="s">
        <v>921</v>
      </c>
      <c r="F206" s="38" t="s">
        <v>922</v>
      </c>
      <c r="G206" s="36"/>
      <c r="H206" s="36"/>
      <c r="I206" s="220">
        <v>3193.74</v>
      </c>
      <c r="J206" s="215"/>
      <c r="K206" s="170" t="s">
        <v>88</v>
      </c>
      <c r="L206" s="89"/>
      <c r="M206" s="89"/>
      <c r="N206" s="89"/>
      <c r="O206" s="175"/>
    </row>
    <row r="207" spans="1:15" ht="15" customHeight="1" x14ac:dyDescent="0.25">
      <c r="A207" s="87" t="s">
        <v>807</v>
      </c>
      <c r="B207" s="36" t="s">
        <v>808</v>
      </c>
      <c r="C207" s="39">
        <v>2010</v>
      </c>
      <c r="D207" s="36" t="s">
        <v>800</v>
      </c>
      <c r="E207" s="36" t="s">
        <v>921</v>
      </c>
      <c r="F207" s="38" t="s">
        <v>922</v>
      </c>
      <c r="G207" s="36"/>
      <c r="H207" s="36"/>
      <c r="I207" s="220">
        <v>2100</v>
      </c>
      <c r="J207" s="215"/>
      <c r="K207" s="170" t="s">
        <v>88</v>
      </c>
      <c r="L207" s="89"/>
      <c r="M207" s="89"/>
      <c r="N207" s="89"/>
      <c r="O207" s="175"/>
    </row>
    <row r="208" spans="1:15" ht="15" customHeight="1" x14ac:dyDescent="0.25">
      <c r="A208" s="87" t="s">
        <v>811</v>
      </c>
      <c r="B208" s="33" t="s">
        <v>812</v>
      </c>
      <c r="C208" s="35">
        <v>2010</v>
      </c>
      <c r="D208" s="33" t="s">
        <v>800</v>
      </c>
      <c r="E208" s="33" t="s">
        <v>921</v>
      </c>
      <c r="F208" s="34" t="s">
        <v>922</v>
      </c>
      <c r="G208" s="33"/>
      <c r="H208" s="33"/>
      <c r="I208" s="221">
        <v>1420</v>
      </c>
      <c r="J208" s="215"/>
      <c r="K208" s="170" t="s">
        <v>88</v>
      </c>
      <c r="L208" s="89"/>
      <c r="M208" s="89"/>
      <c r="N208" s="89"/>
      <c r="O208" s="175"/>
    </row>
    <row r="209" spans="1:15" ht="15" customHeight="1" x14ac:dyDescent="0.25">
      <c r="A209" s="87" t="s">
        <v>923</v>
      </c>
      <c r="B209" s="33" t="s">
        <v>924</v>
      </c>
      <c r="C209" s="35">
        <v>2010</v>
      </c>
      <c r="D209" s="33" t="s">
        <v>800</v>
      </c>
      <c r="E209" s="33" t="s">
        <v>921</v>
      </c>
      <c r="F209" s="34" t="s">
        <v>922</v>
      </c>
      <c r="G209" s="33"/>
      <c r="H209" s="33"/>
      <c r="I209" s="221">
        <v>172.5</v>
      </c>
      <c r="J209" s="215"/>
      <c r="K209" s="170" t="s">
        <v>95</v>
      </c>
      <c r="L209" s="89"/>
      <c r="M209" s="89"/>
      <c r="N209" s="89"/>
      <c r="O209" s="175"/>
    </row>
    <row r="210" spans="1:15" ht="15" customHeight="1" x14ac:dyDescent="0.25">
      <c r="A210" s="87" t="s">
        <v>923</v>
      </c>
      <c r="B210" s="33" t="s">
        <v>924</v>
      </c>
      <c r="C210" s="35">
        <v>2010</v>
      </c>
      <c r="D210" s="33" t="s">
        <v>800</v>
      </c>
      <c r="E210" s="33" t="s">
        <v>925</v>
      </c>
      <c r="F210" s="34" t="s">
        <v>926</v>
      </c>
      <c r="G210" s="33"/>
      <c r="H210" s="33"/>
      <c r="I210" s="221">
        <v>107024</v>
      </c>
      <c r="J210" s="215"/>
      <c r="K210" s="170" t="s">
        <v>94</v>
      </c>
      <c r="L210" s="89"/>
      <c r="M210" s="89"/>
      <c r="N210" s="89"/>
      <c r="O210" s="175" t="s">
        <v>1213</v>
      </c>
    </row>
    <row r="211" spans="1:15" ht="15" customHeight="1" x14ac:dyDescent="0.25">
      <c r="A211" s="87" t="s">
        <v>798</v>
      </c>
      <c r="B211" s="39" t="s">
        <v>799</v>
      </c>
      <c r="C211" s="39">
        <v>2010</v>
      </c>
      <c r="D211" s="36" t="s">
        <v>800</v>
      </c>
      <c r="E211" s="36" t="s">
        <v>925</v>
      </c>
      <c r="F211" s="215" t="s">
        <v>926</v>
      </c>
      <c r="G211" s="36"/>
      <c r="H211" s="36"/>
      <c r="I211" s="220">
        <v>1065373</v>
      </c>
      <c r="J211" s="215"/>
      <c r="K211" s="170" t="s">
        <v>87</v>
      </c>
      <c r="L211" s="89"/>
      <c r="M211" s="89"/>
      <c r="N211" s="89"/>
      <c r="O211" s="175"/>
    </row>
    <row r="212" spans="1:15" ht="15" customHeight="1" x14ac:dyDescent="0.25">
      <c r="A212" s="87" t="s">
        <v>803</v>
      </c>
      <c r="B212" s="39" t="s">
        <v>804</v>
      </c>
      <c r="C212" s="39">
        <v>2010</v>
      </c>
      <c r="D212" s="36" t="s">
        <v>800</v>
      </c>
      <c r="E212" s="36" t="s">
        <v>927</v>
      </c>
      <c r="F212" s="38" t="s">
        <v>928</v>
      </c>
      <c r="G212" s="36"/>
      <c r="H212" s="36"/>
      <c r="I212" s="220">
        <v>4167</v>
      </c>
      <c r="J212" s="215"/>
      <c r="K212" s="170" t="s">
        <v>94</v>
      </c>
      <c r="L212" s="89"/>
      <c r="M212" s="89"/>
      <c r="N212" s="89"/>
      <c r="O212" s="175" t="s">
        <v>1213</v>
      </c>
    </row>
    <row r="213" spans="1:15" ht="15" customHeight="1" x14ac:dyDescent="0.25">
      <c r="A213" s="87" t="s">
        <v>929</v>
      </c>
      <c r="B213" s="33" t="s">
        <v>930</v>
      </c>
      <c r="C213" s="35">
        <v>2010</v>
      </c>
      <c r="D213" s="33" t="s">
        <v>800</v>
      </c>
      <c r="E213" s="33" t="s">
        <v>927</v>
      </c>
      <c r="F213" s="34" t="s">
        <v>928</v>
      </c>
      <c r="G213" s="33"/>
      <c r="H213" s="33"/>
      <c r="I213" s="221">
        <v>115292218</v>
      </c>
      <c r="J213" s="215"/>
      <c r="K213" s="169" t="s">
        <v>93</v>
      </c>
      <c r="L213" s="89"/>
      <c r="M213" s="89"/>
      <c r="N213" s="89"/>
      <c r="O213" s="175"/>
    </row>
    <row r="214" spans="1:15" ht="15" customHeight="1" x14ac:dyDescent="0.25">
      <c r="A214" s="87" t="s">
        <v>929</v>
      </c>
      <c r="B214" s="33" t="s">
        <v>930</v>
      </c>
      <c r="C214" s="35">
        <v>2010</v>
      </c>
      <c r="D214" s="33" t="s">
        <v>800</v>
      </c>
      <c r="E214" s="33" t="s">
        <v>931</v>
      </c>
      <c r="F214" s="34" t="s">
        <v>932</v>
      </c>
      <c r="G214" s="33"/>
      <c r="H214" s="33"/>
      <c r="I214" s="221">
        <v>2821364.73</v>
      </c>
      <c r="J214" s="215"/>
      <c r="K214" s="169" t="s">
        <v>93</v>
      </c>
      <c r="L214" s="89"/>
      <c r="M214" s="89"/>
      <c r="N214" s="89"/>
      <c r="O214" s="175"/>
    </row>
    <row r="215" spans="1:15" ht="15" customHeight="1" x14ac:dyDescent="0.25">
      <c r="A215" s="87" t="s">
        <v>803</v>
      </c>
      <c r="B215" s="39" t="s">
        <v>804</v>
      </c>
      <c r="C215" s="39">
        <v>2010</v>
      </c>
      <c r="D215" s="36" t="s">
        <v>800</v>
      </c>
      <c r="E215" s="36" t="s">
        <v>933</v>
      </c>
      <c r="F215" s="38" t="s">
        <v>934</v>
      </c>
      <c r="G215" s="36"/>
      <c r="H215" s="36"/>
      <c r="I215" s="220">
        <v>150911.79999999999</v>
      </c>
      <c r="J215" s="215"/>
      <c r="K215" s="169" t="s">
        <v>89</v>
      </c>
      <c r="L215" s="89"/>
      <c r="M215" s="89"/>
      <c r="N215" s="89"/>
      <c r="O215" s="175"/>
    </row>
    <row r="216" spans="1:15" ht="15" customHeight="1" x14ac:dyDescent="0.25">
      <c r="A216" s="87" t="s">
        <v>805</v>
      </c>
      <c r="B216" s="36" t="s">
        <v>806</v>
      </c>
      <c r="C216" s="39">
        <v>2010</v>
      </c>
      <c r="D216" s="36" t="s">
        <v>800</v>
      </c>
      <c r="E216" s="36" t="s">
        <v>933</v>
      </c>
      <c r="F216" s="38" t="s">
        <v>934</v>
      </c>
      <c r="G216" s="36"/>
      <c r="H216" s="36"/>
      <c r="I216" s="220">
        <v>65594.75</v>
      </c>
      <c r="J216" s="215"/>
      <c r="K216" s="169" t="s">
        <v>89</v>
      </c>
      <c r="L216" s="89"/>
      <c r="M216" s="89"/>
      <c r="N216" s="89"/>
      <c r="O216" s="175"/>
    </row>
    <row r="217" spans="1:15" ht="15" customHeight="1" x14ac:dyDescent="0.25">
      <c r="A217" s="87" t="s">
        <v>807</v>
      </c>
      <c r="B217" s="36" t="s">
        <v>808</v>
      </c>
      <c r="C217" s="39">
        <v>2010</v>
      </c>
      <c r="D217" s="36" t="s">
        <v>800</v>
      </c>
      <c r="E217" s="36" t="s">
        <v>933</v>
      </c>
      <c r="F217" s="38" t="s">
        <v>934</v>
      </c>
      <c r="G217" s="36"/>
      <c r="H217" s="36"/>
      <c r="I217" s="220">
        <v>116766.8</v>
      </c>
      <c r="J217" s="215"/>
      <c r="K217" s="169" t="s">
        <v>89</v>
      </c>
      <c r="L217" s="89"/>
      <c r="M217" s="89"/>
      <c r="N217" s="89"/>
      <c r="O217" s="175"/>
    </row>
    <row r="218" spans="1:15" ht="15" customHeight="1" x14ac:dyDescent="0.25">
      <c r="A218" s="87" t="s">
        <v>809</v>
      </c>
      <c r="B218" s="36" t="s">
        <v>810</v>
      </c>
      <c r="C218" s="39">
        <v>2010</v>
      </c>
      <c r="D218" s="36" t="s">
        <v>800</v>
      </c>
      <c r="E218" s="36" t="s">
        <v>933</v>
      </c>
      <c r="F218" s="38" t="s">
        <v>934</v>
      </c>
      <c r="G218" s="36"/>
      <c r="H218" s="36"/>
      <c r="I218" s="220">
        <v>87117.65</v>
      </c>
      <c r="J218" s="215"/>
      <c r="K218" s="169" t="s">
        <v>89</v>
      </c>
      <c r="L218" s="89"/>
      <c r="M218" s="89"/>
      <c r="N218" s="89"/>
      <c r="O218" s="175"/>
    </row>
    <row r="219" spans="1:15" ht="15" customHeight="1" x14ac:dyDescent="0.25">
      <c r="A219" s="87" t="s">
        <v>811</v>
      </c>
      <c r="B219" s="33" t="s">
        <v>812</v>
      </c>
      <c r="C219" s="35">
        <v>2010</v>
      </c>
      <c r="D219" s="33" t="s">
        <v>800</v>
      </c>
      <c r="E219" s="33" t="s">
        <v>933</v>
      </c>
      <c r="F219" s="34" t="s">
        <v>934</v>
      </c>
      <c r="G219" s="33"/>
      <c r="H219" s="33"/>
      <c r="I219" s="221">
        <v>107148.16</v>
      </c>
      <c r="J219" s="215"/>
      <c r="K219" s="169" t="s">
        <v>89</v>
      </c>
      <c r="L219" s="89"/>
      <c r="M219" s="89"/>
      <c r="N219" s="89"/>
      <c r="O219" s="175"/>
    </row>
    <row r="220" spans="1:15" ht="15" customHeight="1" x14ac:dyDescent="0.25">
      <c r="A220" s="87" t="s">
        <v>917</v>
      </c>
      <c r="B220" s="33" t="s">
        <v>918</v>
      </c>
      <c r="C220" s="35">
        <v>2010</v>
      </c>
      <c r="D220" s="33" t="s">
        <v>800</v>
      </c>
      <c r="E220" s="33" t="s">
        <v>933</v>
      </c>
      <c r="F220" s="34" t="s">
        <v>934</v>
      </c>
      <c r="G220" s="33"/>
      <c r="H220" s="33"/>
      <c r="I220" s="221">
        <v>12081.32</v>
      </c>
      <c r="J220" s="215"/>
      <c r="K220" s="169" t="s">
        <v>89</v>
      </c>
      <c r="L220" s="89"/>
      <c r="M220" s="89"/>
      <c r="N220" s="89"/>
      <c r="O220" s="175"/>
    </row>
    <row r="221" spans="1:15" ht="15" customHeight="1" x14ac:dyDescent="0.25">
      <c r="A221" s="87" t="s">
        <v>798</v>
      </c>
      <c r="B221" s="39" t="s">
        <v>799</v>
      </c>
      <c r="C221" s="39">
        <v>2010</v>
      </c>
      <c r="D221" s="36" t="s">
        <v>800</v>
      </c>
      <c r="E221" s="36" t="s">
        <v>933</v>
      </c>
      <c r="F221" s="215" t="s">
        <v>934</v>
      </c>
      <c r="G221" s="36"/>
      <c r="H221" s="36"/>
      <c r="I221" s="220">
        <v>134267.06</v>
      </c>
      <c r="J221" s="215"/>
      <c r="K221" s="170" t="s">
        <v>87</v>
      </c>
      <c r="L221" s="89"/>
      <c r="M221" s="89"/>
      <c r="N221" s="89"/>
      <c r="O221" s="175"/>
    </row>
    <row r="222" spans="1:15" ht="15" customHeight="1" x14ac:dyDescent="0.25">
      <c r="A222" s="87" t="s">
        <v>923</v>
      </c>
      <c r="B222" s="33" t="s">
        <v>924</v>
      </c>
      <c r="C222" s="35">
        <v>2010</v>
      </c>
      <c r="D222" s="33" t="s">
        <v>800</v>
      </c>
      <c r="E222" s="33" t="s">
        <v>933</v>
      </c>
      <c r="F222" s="34" t="s">
        <v>934</v>
      </c>
      <c r="G222" s="33"/>
      <c r="H222" s="33"/>
      <c r="I222" s="221">
        <v>43.13</v>
      </c>
      <c r="J222" s="215"/>
      <c r="K222" s="169" t="s">
        <v>95</v>
      </c>
      <c r="L222" s="89"/>
      <c r="M222" s="89"/>
      <c r="N222" s="89"/>
      <c r="O222" s="175"/>
    </row>
    <row r="223" spans="1:15" ht="15" customHeight="1" x14ac:dyDescent="0.25">
      <c r="A223" s="87" t="s">
        <v>798</v>
      </c>
      <c r="B223" s="39" t="s">
        <v>799</v>
      </c>
      <c r="C223" s="39">
        <v>2010</v>
      </c>
      <c r="D223" s="36" t="s">
        <v>800</v>
      </c>
      <c r="E223" s="36" t="s">
        <v>935</v>
      </c>
      <c r="F223" s="215" t="s">
        <v>936</v>
      </c>
      <c r="G223" s="36"/>
      <c r="H223" s="36"/>
      <c r="I223" s="220">
        <v>15752.32</v>
      </c>
      <c r="J223" s="215"/>
      <c r="K223" s="170" t="s">
        <v>87</v>
      </c>
      <c r="L223" s="89"/>
      <c r="M223" s="89"/>
      <c r="N223" s="89"/>
      <c r="O223" s="175"/>
    </row>
    <row r="224" spans="1:15" ht="15" customHeight="1" x14ac:dyDescent="0.25">
      <c r="A224" s="87" t="s">
        <v>803</v>
      </c>
      <c r="B224" s="39" t="s">
        <v>804</v>
      </c>
      <c r="C224" s="39">
        <v>2010</v>
      </c>
      <c r="D224" s="36" t="s">
        <v>800</v>
      </c>
      <c r="E224" s="36" t="s">
        <v>935</v>
      </c>
      <c r="F224" s="38" t="s">
        <v>936</v>
      </c>
      <c r="G224" s="36"/>
      <c r="H224" s="36"/>
      <c r="I224" s="220">
        <v>9483.99</v>
      </c>
      <c r="J224" s="215"/>
      <c r="K224" s="170" t="s">
        <v>97</v>
      </c>
      <c r="L224" s="89"/>
      <c r="M224" s="89"/>
      <c r="N224" s="89"/>
      <c r="O224" s="175"/>
    </row>
    <row r="225" spans="1:15" ht="15" customHeight="1" x14ac:dyDescent="0.25">
      <c r="A225" s="87" t="s">
        <v>798</v>
      </c>
      <c r="B225" s="39" t="s">
        <v>799</v>
      </c>
      <c r="C225" s="39">
        <v>2010</v>
      </c>
      <c r="D225" s="36" t="s">
        <v>800</v>
      </c>
      <c r="E225" s="36" t="s">
        <v>937</v>
      </c>
      <c r="F225" s="215" t="s">
        <v>938</v>
      </c>
      <c r="G225" s="36"/>
      <c r="H225" s="36"/>
      <c r="I225" s="220">
        <v>345056</v>
      </c>
      <c r="J225" s="215"/>
      <c r="K225" s="170" t="s">
        <v>87</v>
      </c>
      <c r="L225" s="89"/>
      <c r="M225" s="89"/>
      <c r="N225" s="89"/>
      <c r="O225" s="175"/>
    </row>
    <row r="226" spans="1:15" ht="15" customHeight="1" x14ac:dyDescent="0.25">
      <c r="A226" s="87" t="s">
        <v>842</v>
      </c>
      <c r="B226" s="39" t="s">
        <v>843</v>
      </c>
      <c r="C226" s="39">
        <v>2010</v>
      </c>
      <c r="D226" s="36" t="s">
        <v>800</v>
      </c>
      <c r="E226" s="36" t="s">
        <v>939</v>
      </c>
      <c r="F226" s="215" t="s">
        <v>940</v>
      </c>
      <c r="G226" s="36"/>
      <c r="H226" s="36"/>
      <c r="I226" s="220">
        <v>10833.16</v>
      </c>
      <c r="J226" s="215"/>
      <c r="K226" s="170" t="s">
        <v>728</v>
      </c>
      <c r="L226" s="89"/>
      <c r="M226" s="89"/>
      <c r="N226" s="89"/>
      <c r="O226" s="175"/>
    </row>
    <row r="227" spans="1:15" ht="15" customHeight="1" x14ac:dyDescent="0.25">
      <c r="A227" s="87" t="s">
        <v>798</v>
      </c>
      <c r="B227" s="39" t="s">
        <v>799</v>
      </c>
      <c r="C227" s="39">
        <v>2010</v>
      </c>
      <c r="D227" s="36" t="s">
        <v>800</v>
      </c>
      <c r="E227" s="36" t="s">
        <v>941</v>
      </c>
      <c r="F227" s="215" t="s">
        <v>942</v>
      </c>
      <c r="G227" s="36"/>
      <c r="H227" s="36"/>
      <c r="I227" s="220">
        <v>1586017.04</v>
      </c>
      <c r="J227" s="215"/>
      <c r="K227" s="170" t="s">
        <v>87</v>
      </c>
      <c r="L227" s="89"/>
      <c r="M227" s="89"/>
      <c r="N227" s="89"/>
      <c r="O227" s="175"/>
    </row>
    <row r="228" spans="1:15" ht="15" customHeight="1" x14ac:dyDescent="0.25">
      <c r="A228" s="87" t="s">
        <v>803</v>
      </c>
      <c r="B228" s="39" t="s">
        <v>804</v>
      </c>
      <c r="C228" s="39">
        <v>2010</v>
      </c>
      <c r="D228" s="36" t="s">
        <v>800</v>
      </c>
      <c r="E228" s="36" t="s">
        <v>941</v>
      </c>
      <c r="F228" s="38" t="s">
        <v>942</v>
      </c>
      <c r="G228" s="36"/>
      <c r="H228" s="36"/>
      <c r="I228" s="220">
        <v>-2257539.69</v>
      </c>
      <c r="J228" s="215"/>
      <c r="K228" s="170" t="s">
        <v>92</v>
      </c>
      <c r="L228" s="89"/>
      <c r="M228" s="89"/>
      <c r="N228" s="89"/>
      <c r="O228" s="175"/>
    </row>
    <row r="229" spans="1:15" ht="15" customHeight="1" x14ac:dyDescent="0.25">
      <c r="A229" s="87" t="s">
        <v>805</v>
      </c>
      <c r="B229" s="36" t="s">
        <v>806</v>
      </c>
      <c r="C229" s="39">
        <v>2010</v>
      </c>
      <c r="D229" s="36" t="s">
        <v>800</v>
      </c>
      <c r="E229" s="36" t="s">
        <v>941</v>
      </c>
      <c r="F229" s="38" t="s">
        <v>942</v>
      </c>
      <c r="G229" s="36"/>
      <c r="H229" s="36"/>
      <c r="I229" s="220">
        <v>-1053260.03</v>
      </c>
      <c r="J229" s="215"/>
      <c r="K229" s="170" t="s">
        <v>92</v>
      </c>
      <c r="L229" s="89"/>
      <c r="M229" s="89"/>
      <c r="N229" s="89"/>
      <c r="O229" s="175"/>
    </row>
    <row r="230" spans="1:15" ht="15" customHeight="1" x14ac:dyDescent="0.25">
      <c r="A230" s="87" t="s">
        <v>807</v>
      </c>
      <c r="B230" s="36" t="s">
        <v>808</v>
      </c>
      <c r="C230" s="39">
        <v>2010</v>
      </c>
      <c r="D230" s="36" t="s">
        <v>800</v>
      </c>
      <c r="E230" s="36" t="s">
        <v>941</v>
      </c>
      <c r="F230" s="38" t="s">
        <v>942</v>
      </c>
      <c r="G230" s="36"/>
      <c r="H230" s="36"/>
      <c r="I230" s="220">
        <v>-1521405.76</v>
      </c>
      <c r="J230" s="215"/>
      <c r="K230" s="170" t="s">
        <v>92</v>
      </c>
      <c r="L230" s="89"/>
      <c r="M230" s="89"/>
      <c r="N230" s="89"/>
      <c r="O230" s="175"/>
    </row>
    <row r="231" spans="1:15" ht="15" customHeight="1" x14ac:dyDescent="0.25">
      <c r="A231" s="87" t="s">
        <v>809</v>
      </c>
      <c r="B231" s="36" t="s">
        <v>810</v>
      </c>
      <c r="C231" s="39">
        <v>2010</v>
      </c>
      <c r="D231" s="36" t="s">
        <v>800</v>
      </c>
      <c r="E231" s="36" t="s">
        <v>941</v>
      </c>
      <c r="F231" s="38" t="s">
        <v>942</v>
      </c>
      <c r="G231" s="36"/>
      <c r="H231" s="36"/>
      <c r="I231" s="220">
        <v>-1457241.89</v>
      </c>
      <c r="J231" s="215"/>
      <c r="K231" s="170" t="s">
        <v>92</v>
      </c>
      <c r="L231" s="89"/>
      <c r="M231" s="89"/>
      <c r="N231" s="89"/>
      <c r="O231" s="175"/>
    </row>
    <row r="232" spans="1:15" ht="15" customHeight="1" x14ac:dyDescent="0.25">
      <c r="A232" s="87" t="s">
        <v>811</v>
      </c>
      <c r="B232" s="33" t="s">
        <v>812</v>
      </c>
      <c r="C232" s="35">
        <v>2010</v>
      </c>
      <c r="D232" s="33" t="s">
        <v>800</v>
      </c>
      <c r="E232" s="33" t="s">
        <v>941</v>
      </c>
      <c r="F232" s="34" t="s">
        <v>942</v>
      </c>
      <c r="G232" s="33"/>
      <c r="H232" s="33"/>
      <c r="I232" s="221">
        <v>-1696002.83</v>
      </c>
      <c r="J232" s="215"/>
      <c r="K232" s="170" t="s">
        <v>92</v>
      </c>
      <c r="L232" s="89"/>
      <c r="M232" s="89"/>
      <c r="N232" s="89"/>
      <c r="O232" s="175"/>
    </row>
    <row r="233" spans="1:15" ht="15" customHeight="1" x14ac:dyDescent="0.25">
      <c r="A233" s="87" t="s">
        <v>803</v>
      </c>
      <c r="B233" s="39" t="s">
        <v>804</v>
      </c>
      <c r="C233" s="39">
        <v>2010</v>
      </c>
      <c r="D233" s="36" t="s">
        <v>800</v>
      </c>
      <c r="E233" s="36" t="s">
        <v>943</v>
      </c>
      <c r="F233" s="38" t="s">
        <v>944</v>
      </c>
      <c r="G233" s="36"/>
      <c r="H233" s="36"/>
      <c r="I233" s="220">
        <v>-427744.89</v>
      </c>
      <c r="J233" s="215"/>
      <c r="K233" s="170" t="s">
        <v>760</v>
      </c>
      <c r="L233" s="89"/>
      <c r="M233" s="89"/>
      <c r="N233" s="89"/>
      <c r="O233" s="175"/>
    </row>
    <row r="234" spans="1:15" ht="15" customHeight="1" x14ac:dyDescent="0.25">
      <c r="A234" s="87" t="s">
        <v>805</v>
      </c>
      <c r="B234" s="36" t="s">
        <v>806</v>
      </c>
      <c r="C234" s="39">
        <v>2010</v>
      </c>
      <c r="D234" s="36" t="s">
        <v>800</v>
      </c>
      <c r="E234" s="36" t="s">
        <v>943</v>
      </c>
      <c r="F234" s="38" t="s">
        <v>944</v>
      </c>
      <c r="G234" s="36"/>
      <c r="H234" s="36"/>
      <c r="I234" s="220">
        <v>-185350.56</v>
      </c>
      <c r="J234" s="215"/>
      <c r="K234" s="170" t="s">
        <v>760</v>
      </c>
      <c r="L234" s="89"/>
      <c r="M234" s="89"/>
      <c r="N234" s="89"/>
      <c r="O234" s="175"/>
    </row>
    <row r="235" spans="1:15" ht="15" customHeight="1" x14ac:dyDescent="0.25">
      <c r="A235" s="87" t="s">
        <v>807</v>
      </c>
      <c r="B235" s="36" t="s">
        <v>808</v>
      </c>
      <c r="C235" s="39">
        <v>2010</v>
      </c>
      <c r="D235" s="36" t="s">
        <v>800</v>
      </c>
      <c r="E235" s="36" t="s">
        <v>943</v>
      </c>
      <c r="F235" s="38" t="s">
        <v>944</v>
      </c>
      <c r="G235" s="36"/>
      <c r="H235" s="36"/>
      <c r="I235" s="220">
        <v>-390802.86</v>
      </c>
      <c r="J235" s="215"/>
      <c r="K235" s="170" t="s">
        <v>760</v>
      </c>
      <c r="L235" s="89"/>
      <c r="M235" s="89"/>
      <c r="N235" s="89"/>
      <c r="O235" s="175"/>
    </row>
    <row r="236" spans="1:15" ht="15" customHeight="1" x14ac:dyDescent="0.25">
      <c r="A236" s="87" t="s">
        <v>809</v>
      </c>
      <c r="B236" s="36" t="s">
        <v>810</v>
      </c>
      <c r="C236" s="39">
        <v>2010</v>
      </c>
      <c r="D236" s="36" t="s">
        <v>800</v>
      </c>
      <c r="E236" s="36" t="s">
        <v>943</v>
      </c>
      <c r="F236" s="38" t="s">
        <v>944</v>
      </c>
      <c r="G236" s="36"/>
      <c r="H236" s="36"/>
      <c r="I236" s="220">
        <v>-347307.17</v>
      </c>
      <c r="J236" s="215"/>
      <c r="K236" s="170" t="s">
        <v>760</v>
      </c>
      <c r="L236" s="89"/>
      <c r="M236" s="89"/>
      <c r="N236" s="89"/>
      <c r="O236" s="175"/>
    </row>
    <row r="237" spans="1:15" ht="15" customHeight="1" x14ac:dyDescent="0.25">
      <c r="A237" s="87" t="s">
        <v>811</v>
      </c>
      <c r="B237" s="33" t="s">
        <v>812</v>
      </c>
      <c r="C237" s="35">
        <v>2010</v>
      </c>
      <c r="D237" s="33" t="s">
        <v>800</v>
      </c>
      <c r="E237" s="33" t="s">
        <v>943</v>
      </c>
      <c r="F237" s="34" t="s">
        <v>944</v>
      </c>
      <c r="G237" s="33"/>
      <c r="H237" s="33"/>
      <c r="I237" s="221">
        <v>-379538.53</v>
      </c>
      <c r="J237" s="215"/>
      <c r="K237" s="170" t="s">
        <v>760</v>
      </c>
      <c r="L237" s="89"/>
      <c r="M237" s="89"/>
      <c r="N237" s="89"/>
      <c r="O237" s="175"/>
    </row>
    <row r="238" spans="1:15" ht="15" customHeight="1" x14ac:dyDescent="0.25">
      <c r="A238" s="87" t="s">
        <v>879</v>
      </c>
      <c r="B238" s="39" t="s">
        <v>880</v>
      </c>
      <c r="C238" s="39">
        <v>2010</v>
      </c>
      <c r="D238" s="36" t="s">
        <v>800</v>
      </c>
      <c r="E238" s="36" t="s">
        <v>943</v>
      </c>
      <c r="F238" s="215" t="s">
        <v>944</v>
      </c>
      <c r="G238" s="36"/>
      <c r="H238" s="36"/>
      <c r="I238" s="220">
        <v>-500</v>
      </c>
      <c r="J238" s="215"/>
      <c r="K238" s="170" t="s">
        <v>95</v>
      </c>
      <c r="L238" s="89"/>
      <c r="M238" s="89"/>
      <c r="N238" s="89"/>
      <c r="O238" s="175"/>
    </row>
    <row r="239" spans="1:15" ht="15" customHeight="1" x14ac:dyDescent="0.25">
      <c r="A239" s="87" t="s">
        <v>803</v>
      </c>
      <c r="B239" s="39" t="s">
        <v>804</v>
      </c>
      <c r="C239" s="39">
        <v>2010</v>
      </c>
      <c r="D239" s="36" t="s">
        <v>800</v>
      </c>
      <c r="E239" s="36" t="s">
        <v>945</v>
      </c>
      <c r="F239" s="38" t="s">
        <v>946</v>
      </c>
      <c r="G239" s="36"/>
      <c r="H239" s="36"/>
      <c r="I239" s="220">
        <v>-550879</v>
      </c>
      <c r="J239" s="215"/>
      <c r="K239" s="170" t="s">
        <v>94</v>
      </c>
      <c r="L239" s="89"/>
      <c r="M239" s="89"/>
      <c r="N239" s="89"/>
      <c r="O239" s="175" t="s">
        <v>1213</v>
      </c>
    </row>
    <row r="240" spans="1:15" ht="15" customHeight="1" x14ac:dyDescent="0.25">
      <c r="A240" s="87" t="s">
        <v>805</v>
      </c>
      <c r="B240" s="36" t="s">
        <v>806</v>
      </c>
      <c r="C240" s="39">
        <v>2010</v>
      </c>
      <c r="D240" s="36" t="s">
        <v>800</v>
      </c>
      <c r="E240" s="36" t="s">
        <v>945</v>
      </c>
      <c r="F240" s="38" t="s">
        <v>946</v>
      </c>
      <c r="G240" s="36"/>
      <c r="H240" s="36"/>
      <c r="I240" s="220">
        <v>-288388</v>
      </c>
      <c r="J240" s="215"/>
      <c r="K240" s="170" t="s">
        <v>94</v>
      </c>
      <c r="L240" s="89"/>
      <c r="M240" s="89"/>
      <c r="N240" s="89"/>
      <c r="O240" s="175" t="s">
        <v>1213</v>
      </c>
    </row>
    <row r="241" spans="1:15" ht="15" customHeight="1" x14ac:dyDescent="0.25">
      <c r="A241" s="87" t="s">
        <v>807</v>
      </c>
      <c r="B241" s="36" t="s">
        <v>808</v>
      </c>
      <c r="C241" s="39">
        <v>2010</v>
      </c>
      <c r="D241" s="36" t="s">
        <v>800</v>
      </c>
      <c r="E241" s="36" t="s">
        <v>945</v>
      </c>
      <c r="F241" s="38" t="s">
        <v>946</v>
      </c>
      <c r="G241" s="36"/>
      <c r="H241" s="36"/>
      <c r="I241" s="220">
        <v>-417979</v>
      </c>
      <c r="J241" s="215"/>
      <c r="K241" s="170" t="s">
        <v>94</v>
      </c>
      <c r="L241" s="89"/>
      <c r="M241" s="89"/>
      <c r="N241" s="89"/>
      <c r="O241" s="175" t="s">
        <v>1213</v>
      </c>
    </row>
    <row r="242" spans="1:15" ht="15" customHeight="1" x14ac:dyDescent="0.25">
      <c r="A242" s="87" t="s">
        <v>809</v>
      </c>
      <c r="B242" s="36" t="s">
        <v>810</v>
      </c>
      <c r="C242" s="39">
        <v>2010</v>
      </c>
      <c r="D242" s="36" t="s">
        <v>800</v>
      </c>
      <c r="E242" s="36" t="s">
        <v>945</v>
      </c>
      <c r="F242" s="38" t="s">
        <v>946</v>
      </c>
      <c r="G242" s="36"/>
      <c r="H242" s="36"/>
      <c r="I242" s="220">
        <v>-382353</v>
      </c>
      <c r="J242" s="215"/>
      <c r="K242" s="170" t="s">
        <v>94</v>
      </c>
      <c r="L242" s="89"/>
      <c r="M242" s="89"/>
      <c r="N242" s="89"/>
      <c r="O242" s="175" t="s">
        <v>1213</v>
      </c>
    </row>
    <row r="243" spans="1:15" ht="15" customHeight="1" x14ac:dyDescent="0.25">
      <c r="A243" s="87" t="s">
        <v>811</v>
      </c>
      <c r="B243" s="33" t="s">
        <v>812</v>
      </c>
      <c r="C243" s="35">
        <v>2010</v>
      </c>
      <c r="D243" s="33" t="s">
        <v>800</v>
      </c>
      <c r="E243" s="33" t="s">
        <v>945</v>
      </c>
      <c r="F243" s="34" t="s">
        <v>946</v>
      </c>
      <c r="G243" s="33"/>
      <c r="H243" s="33"/>
      <c r="I243" s="221">
        <v>-443475</v>
      </c>
      <c r="J243" s="215"/>
      <c r="K243" s="170" t="s">
        <v>94</v>
      </c>
      <c r="L243" s="89"/>
      <c r="M243" s="89"/>
      <c r="N243" s="89"/>
      <c r="O243" s="175" t="s">
        <v>1213</v>
      </c>
    </row>
    <row r="244" spans="1:15" ht="15" customHeight="1" x14ac:dyDescent="0.25">
      <c r="A244" s="87" t="s">
        <v>798</v>
      </c>
      <c r="B244" s="39" t="s">
        <v>799</v>
      </c>
      <c r="C244" s="39">
        <v>2010</v>
      </c>
      <c r="D244" s="36" t="s">
        <v>800</v>
      </c>
      <c r="E244" s="36" t="s">
        <v>945</v>
      </c>
      <c r="F244" s="215" t="s">
        <v>946</v>
      </c>
      <c r="G244" s="36"/>
      <c r="H244" s="36"/>
      <c r="I244" s="220">
        <v>1222214</v>
      </c>
      <c r="J244" s="215"/>
      <c r="K244" s="170" t="s">
        <v>87</v>
      </c>
      <c r="L244" s="89"/>
      <c r="M244" s="89"/>
      <c r="N244" s="89"/>
      <c r="O244" s="175"/>
    </row>
    <row r="245" spans="1:15" ht="15" customHeight="1" x14ac:dyDescent="0.25">
      <c r="A245" s="87" t="s">
        <v>805</v>
      </c>
      <c r="B245" s="36" t="s">
        <v>806</v>
      </c>
      <c r="C245" s="39">
        <v>2010</v>
      </c>
      <c r="D245" s="36" t="s">
        <v>800</v>
      </c>
      <c r="E245" s="36" t="s">
        <v>947</v>
      </c>
      <c r="F245" s="38" t="s">
        <v>948</v>
      </c>
      <c r="G245" s="36"/>
      <c r="H245" s="36"/>
      <c r="I245" s="220">
        <v>-76960</v>
      </c>
      <c r="J245" s="215"/>
      <c r="K245" s="170" t="s">
        <v>94</v>
      </c>
      <c r="L245" s="89"/>
      <c r="M245" s="89"/>
      <c r="N245" s="89"/>
      <c r="O245" s="175" t="s">
        <v>1213</v>
      </c>
    </row>
    <row r="246" spans="1:15" ht="15" customHeight="1" x14ac:dyDescent="0.25">
      <c r="A246" s="87" t="s">
        <v>807</v>
      </c>
      <c r="B246" s="36" t="s">
        <v>808</v>
      </c>
      <c r="C246" s="39">
        <v>2010</v>
      </c>
      <c r="D246" s="36" t="s">
        <v>800</v>
      </c>
      <c r="E246" s="36" t="s">
        <v>947</v>
      </c>
      <c r="F246" s="38" t="s">
        <v>948</v>
      </c>
      <c r="G246" s="36"/>
      <c r="H246" s="36"/>
      <c r="I246" s="220">
        <v>-22778</v>
      </c>
      <c r="J246" s="215"/>
      <c r="K246" s="170" t="s">
        <v>94</v>
      </c>
      <c r="L246" s="89"/>
      <c r="M246" s="89"/>
      <c r="N246" s="89"/>
      <c r="O246" s="175" t="s">
        <v>1213</v>
      </c>
    </row>
    <row r="247" spans="1:15" ht="15" customHeight="1" x14ac:dyDescent="0.25">
      <c r="A247" s="87" t="s">
        <v>803</v>
      </c>
      <c r="B247" s="39" t="s">
        <v>804</v>
      </c>
      <c r="C247" s="39">
        <v>2010</v>
      </c>
      <c r="D247" s="36" t="s">
        <v>800</v>
      </c>
      <c r="E247" s="36" t="s">
        <v>949</v>
      </c>
      <c r="F247" s="38" t="s">
        <v>950</v>
      </c>
      <c r="G247" s="36"/>
      <c r="H247" s="36"/>
      <c r="I247" s="220">
        <v>-1591780</v>
      </c>
      <c r="J247" s="215"/>
      <c r="K247" s="170" t="s">
        <v>90</v>
      </c>
      <c r="L247" s="89"/>
      <c r="M247" s="89"/>
      <c r="N247" s="89"/>
      <c r="O247" s="175"/>
    </row>
    <row r="248" spans="1:15" ht="15" customHeight="1" x14ac:dyDescent="0.25">
      <c r="A248" s="87" t="s">
        <v>805</v>
      </c>
      <c r="B248" s="36" t="s">
        <v>806</v>
      </c>
      <c r="C248" s="39">
        <v>2010</v>
      </c>
      <c r="D248" s="36" t="s">
        <v>800</v>
      </c>
      <c r="E248" s="36" t="s">
        <v>949</v>
      </c>
      <c r="F248" s="38" t="s">
        <v>950</v>
      </c>
      <c r="G248" s="36"/>
      <c r="H248" s="36"/>
      <c r="I248" s="220">
        <v>-1103679</v>
      </c>
      <c r="J248" s="215"/>
      <c r="K248" s="170" t="s">
        <v>90</v>
      </c>
      <c r="L248" s="89"/>
      <c r="M248" s="89"/>
      <c r="N248" s="89"/>
      <c r="O248" s="175"/>
    </row>
    <row r="249" spans="1:15" ht="15" customHeight="1" x14ac:dyDescent="0.25">
      <c r="A249" s="87" t="s">
        <v>807</v>
      </c>
      <c r="B249" s="36" t="s">
        <v>808</v>
      </c>
      <c r="C249" s="39">
        <v>2010</v>
      </c>
      <c r="D249" s="36" t="s">
        <v>800</v>
      </c>
      <c r="E249" s="36" t="s">
        <v>949</v>
      </c>
      <c r="F249" s="38" t="s">
        <v>950</v>
      </c>
      <c r="G249" s="36"/>
      <c r="H249" s="36"/>
      <c r="I249" s="220">
        <v>-1604185</v>
      </c>
      <c r="J249" s="215"/>
      <c r="K249" s="170" t="s">
        <v>90</v>
      </c>
      <c r="L249" s="89"/>
      <c r="M249" s="89"/>
      <c r="N249" s="89"/>
      <c r="O249" s="175"/>
    </row>
    <row r="250" spans="1:15" ht="15" customHeight="1" x14ac:dyDescent="0.25">
      <c r="A250" s="87" t="s">
        <v>809</v>
      </c>
      <c r="B250" s="36" t="s">
        <v>810</v>
      </c>
      <c r="C250" s="39">
        <v>2010</v>
      </c>
      <c r="D250" s="36" t="s">
        <v>800</v>
      </c>
      <c r="E250" s="36" t="s">
        <v>949</v>
      </c>
      <c r="F250" s="38" t="s">
        <v>950</v>
      </c>
      <c r="G250" s="36"/>
      <c r="H250" s="36"/>
      <c r="I250" s="220">
        <v>-324678</v>
      </c>
      <c r="J250" s="215"/>
      <c r="K250" s="170" t="s">
        <v>90</v>
      </c>
      <c r="L250" s="89"/>
      <c r="M250" s="89"/>
      <c r="N250" s="89"/>
      <c r="O250" s="175"/>
    </row>
    <row r="251" spans="1:15" ht="15" customHeight="1" x14ac:dyDescent="0.25">
      <c r="A251" s="87" t="s">
        <v>811</v>
      </c>
      <c r="B251" s="33" t="s">
        <v>812</v>
      </c>
      <c r="C251" s="35">
        <v>2010</v>
      </c>
      <c r="D251" s="33" t="s">
        <v>800</v>
      </c>
      <c r="E251" s="33" t="s">
        <v>949</v>
      </c>
      <c r="F251" s="34" t="s">
        <v>950</v>
      </c>
      <c r="G251" s="33"/>
      <c r="H251" s="33"/>
      <c r="I251" s="221">
        <v>-1793032</v>
      </c>
      <c r="J251" s="215"/>
      <c r="K251" s="170" t="s">
        <v>90</v>
      </c>
      <c r="L251" s="89"/>
      <c r="M251" s="89"/>
      <c r="N251" s="89"/>
      <c r="O251" s="175"/>
    </row>
    <row r="252" spans="1:15" ht="15" customHeight="1" x14ac:dyDescent="0.25">
      <c r="A252" s="87" t="s">
        <v>798</v>
      </c>
      <c r="B252" s="39" t="s">
        <v>799</v>
      </c>
      <c r="C252" s="39">
        <v>2010</v>
      </c>
      <c r="D252" s="36" t="s">
        <v>800</v>
      </c>
      <c r="E252" s="36" t="s">
        <v>949</v>
      </c>
      <c r="F252" s="215" t="s">
        <v>950</v>
      </c>
      <c r="G252" s="36"/>
      <c r="H252" s="36"/>
      <c r="I252" s="220">
        <v>-517282</v>
      </c>
      <c r="J252" s="215"/>
      <c r="K252" s="170" t="s">
        <v>87</v>
      </c>
      <c r="L252" s="89"/>
      <c r="M252" s="89"/>
      <c r="N252" s="89"/>
      <c r="O252" s="175"/>
    </row>
    <row r="253" spans="1:15" ht="15" customHeight="1" x14ac:dyDescent="0.25">
      <c r="A253" s="87" t="s">
        <v>803</v>
      </c>
      <c r="B253" s="39" t="s">
        <v>804</v>
      </c>
      <c r="C253" s="39">
        <v>2010</v>
      </c>
      <c r="D253" s="36" t="s">
        <v>800</v>
      </c>
      <c r="E253" s="36" t="s">
        <v>951</v>
      </c>
      <c r="F253" s="38" t="s">
        <v>952</v>
      </c>
      <c r="G253" s="36"/>
      <c r="H253" s="36"/>
      <c r="I253" s="220">
        <v>-312636</v>
      </c>
      <c r="J253" s="215"/>
      <c r="K253" s="170" t="s">
        <v>90</v>
      </c>
      <c r="L253" s="89"/>
      <c r="M253" s="89"/>
      <c r="N253" s="89"/>
      <c r="O253" s="175"/>
    </row>
    <row r="254" spans="1:15" ht="15" customHeight="1" x14ac:dyDescent="0.25">
      <c r="A254" s="87" t="s">
        <v>805</v>
      </c>
      <c r="B254" s="36" t="s">
        <v>806</v>
      </c>
      <c r="C254" s="39">
        <v>2010</v>
      </c>
      <c r="D254" s="36" t="s">
        <v>800</v>
      </c>
      <c r="E254" s="36" t="s">
        <v>951</v>
      </c>
      <c r="F254" s="38" t="s">
        <v>952</v>
      </c>
      <c r="G254" s="36"/>
      <c r="H254" s="36"/>
      <c r="I254" s="220">
        <v>-330105</v>
      </c>
      <c r="J254" s="215"/>
      <c r="K254" s="170" t="s">
        <v>90</v>
      </c>
      <c r="L254" s="89"/>
      <c r="M254" s="89"/>
      <c r="N254" s="89"/>
      <c r="O254" s="175"/>
    </row>
    <row r="255" spans="1:15" ht="15" customHeight="1" x14ac:dyDescent="0.25">
      <c r="A255" s="87" t="s">
        <v>807</v>
      </c>
      <c r="B255" s="36" t="s">
        <v>808</v>
      </c>
      <c r="C255" s="39">
        <v>2010</v>
      </c>
      <c r="D255" s="36" t="s">
        <v>800</v>
      </c>
      <c r="E255" s="36" t="s">
        <v>951</v>
      </c>
      <c r="F255" s="38" t="s">
        <v>952</v>
      </c>
      <c r="G255" s="36"/>
      <c r="H255" s="36"/>
      <c r="I255" s="220">
        <v>-251138</v>
      </c>
      <c r="J255" s="215"/>
      <c r="K255" s="170" t="s">
        <v>90</v>
      </c>
      <c r="L255" s="89"/>
      <c r="M255" s="89"/>
      <c r="N255" s="89"/>
      <c r="O255" s="175"/>
    </row>
    <row r="256" spans="1:15" ht="15" customHeight="1" x14ac:dyDescent="0.25">
      <c r="A256" s="87" t="s">
        <v>811</v>
      </c>
      <c r="B256" s="33" t="s">
        <v>812</v>
      </c>
      <c r="C256" s="35">
        <v>2010</v>
      </c>
      <c r="D256" s="33" t="s">
        <v>800</v>
      </c>
      <c r="E256" s="33" t="s">
        <v>951</v>
      </c>
      <c r="F256" s="34" t="s">
        <v>952</v>
      </c>
      <c r="G256" s="33"/>
      <c r="H256" s="33"/>
      <c r="I256" s="221">
        <v>-281387</v>
      </c>
      <c r="J256" s="215"/>
      <c r="K256" s="170" t="s">
        <v>90</v>
      </c>
      <c r="L256" s="89"/>
      <c r="M256" s="89"/>
      <c r="N256" s="89"/>
      <c r="O256" s="175"/>
    </row>
    <row r="257" spans="1:15" ht="15" customHeight="1" x14ac:dyDescent="0.25">
      <c r="A257" s="87" t="s">
        <v>803</v>
      </c>
      <c r="B257" s="39" t="s">
        <v>804</v>
      </c>
      <c r="C257" s="39">
        <v>2010</v>
      </c>
      <c r="D257" s="36" t="s">
        <v>800</v>
      </c>
      <c r="E257" s="36" t="s">
        <v>953</v>
      </c>
      <c r="F257" s="38" t="s">
        <v>954</v>
      </c>
      <c r="G257" s="36"/>
      <c r="H257" s="36"/>
      <c r="I257" s="220">
        <v>-150911.79999999999</v>
      </c>
      <c r="J257" s="215"/>
      <c r="K257" s="170" t="s">
        <v>91</v>
      </c>
      <c r="L257" s="89"/>
      <c r="M257" s="89"/>
      <c r="N257" s="89"/>
      <c r="O257" s="175"/>
    </row>
    <row r="258" spans="1:15" ht="15" customHeight="1" x14ac:dyDescent="0.25">
      <c r="A258" s="87" t="s">
        <v>805</v>
      </c>
      <c r="B258" s="36" t="s">
        <v>806</v>
      </c>
      <c r="C258" s="39">
        <v>2010</v>
      </c>
      <c r="D258" s="36" t="s">
        <v>800</v>
      </c>
      <c r="E258" s="36" t="s">
        <v>953</v>
      </c>
      <c r="F258" s="38" t="s">
        <v>954</v>
      </c>
      <c r="G258" s="36"/>
      <c r="H258" s="36"/>
      <c r="I258" s="220">
        <v>-65594.75</v>
      </c>
      <c r="J258" s="215"/>
      <c r="K258" s="170" t="s">
        <v>91</v>
      </c>
      <c r="L258" s="89"/>
      <c r="M258" s="89"/>
      <c r="N258" s="89"/>
      <c r="O258" s="175"/>
    </row>
    <row r="259" spans="1:15" ht="15" customHeight="1" x14ac:dyDescent="0.25">
      <c r="A259" s="87" t="s">
        <v>807</v>
      </c>
      <c r="B259" s="36" t="s">
        <v>808</v>
      </c>
      <c r="C259" s="39">
        <v>2010</v>
      </c>
      <c r="D259" s="36" t="s">
        <v>800</v>
      </c>
      <c r="E259" s="36" t="s">
        <v>953</v>
      </c>
      <c r="F259" s="38" t="s">
        <v>954</v>
      </c>
      <c r="G259" s="36"/>
      <c r="H259" s="36"/>
      <c r="I259" s="220">
        <v>-116766.8</v>
      </c>
      <c r="J259" s="215"/>
      <c r="K259" s="170" t="s">
        <v>91</v>
      </c>
      <c r="L259" s="89"/>
      <c r="M259" s="89"/>
      <c r="N259" s="89"/>
      <c r="O259" s="175"/>
    </row>
    <row r="260" spans="1:15" ht="15" customHeight="1" x14ac:dyDescent="0.25">
      <c r="A260" s="87" t="s">
        <v>809</v>
      </c>
      <c r="B260" s="36" t="s">
        <v>810</v>
      </c>
      <c r="C260" s="39">
        <v>2010</v>
      </c>
      <c r="D260" s="36" t="s">
        <v>800</v>
      </c>
      <c r="E260" s="36" t="s">
        <v>953</v>
      </c>
      <c r="F260" s="38" t="s">
        <v>954</v>
      </c>
      <c r="G260" s="36"/>
      <c r="H260" s="36"/>
      <c r="I260" s="220">
        <v>-87117.65</v>
      </c>
      <c r="J260" s="215"/>
      <c r="K260" s="170" t="s">
        <v>91</v>
      </c>
      <c r="L260" s="89"/>
      <c r="M260" s="89"/>
      <c r="N260" s="89"/>
      <c r="O260" s="175"/>
    </row>
    <row r="261" spans="1:15" ht="15" customHeight="1" x14ac:dyDescent="0.25">
      <c r="A261" s="87" t="s">
        <v>811</v>
      </c>
      <c r="B261" s="33" t="s">
        <v>812</v>
      </c>
      <c r="C261" s="35">
        <v>2010</v>
      </c>
      <c r="D261" s="33" t="s">
        <v>800</v>
      </c>
      <c r="E261" s="33" t="s">
        <v>953</v>
      </c>
      <c r="F261" s="34" t="s">
        <v>954</v>
      </c>
      <c r="G261" s="33"/>
      <c r="H261" s="33"/>
      <c r="I261" s="221">
        <v>-107148.16</v>
      </c>
      <c r="J261" s="215"/>
      <c r="K261" s="170" t="s">
        <v>91</v>
      </c>
      <c r="L261" s="89"/>
      <c r="M261" s="89"/>
      <c r="N261" s="89"/>
      <c r="O261" s="175"/>
    </row>
    <row r="262" spans="1:15" ht="15" customHeight="1" x14ac:dyDescent="0.25">
      <c r="A262" s="87" t="s">
        <v>917</v>
      </c>
      <c r="B262" s="33" t="s">
        <v>918</v>
      </c>
      <c r="C262" s="35">
        <v>2010</v>
      </c>
      <c r="D262" s="33" t="s">
        <v>800</v>
      </c>
      <c r="E262" s="33" t="s">
        <v>953</v>
      </c>
      <c r="F262" s="34" t="s">
        <v>954</v>
      </c>
      <c r="G262" s="33"/>
      <c r="H262" s="33"/>
      <c r="I262" s="221">
        <v>-12081.32</v>
      </c>
      <c r="J262" s="215"/>
      <c r="K262" s="170" t="s">
        <v>91</v>
      </c>
      <c r="L262" s="89"/>
      <c r="M262" s="89"/>
      <c r="N262" s="89"/>
      <c r="O262" s="175"/>
    </row>
    <row r="263" spans="1:15" ht="15" customHeight="1" x14ac:dyDescent="0.25">
      <c r="A263" s="87" t="s">
        <v>798</v>
      </c>
      <c r="B263" s="39" t="s">
        <v>799</v>
      </c>
      <c r="C263" s="39">
        <v>2010</v>
      </c>
      <c r="D263" s="36" t="s">
        <v>800</v>
      </c>
      <c r="E263" s="36" t="s">
        <v>953</v>
      </c>
      <c r="F263" s="215" t="s">
        <v>954</v>
      </c>
      <c r="G263" s="36"/>
      <c r="H263" s="36"/>
      <c r="I263" s="220">
        <v>-134267.06</v>
      </c>
      <c r="J263" s="215"/>
      <c r="K263" s="170" t="s">
        <v>87</v>
      </c>
      <c r="L263" s="89"/>
      <c r="M263" s="89"/>
      <c r="N263" s="89"/>
      <c r="O263" s="175"/>
    </row>
    <row r="264" spans="1:15" ht="15" customHeight="1" x14ac:dyDescent="0.25">
      <c r="A264" s="87" t="s">
        <v>923</v>
      </c>
      <c r="B264" s="33" t="s">
        <v>924</v>
      </c>
      <c r="C264" s="35">
        <v>2010</v>
      </c>
      <c r="D264" s="33" t="s">
        <v>800</v>
      </c>
      <c r="E264" s="33" t="s">
        <v>953</v>
      </c>
      <c r="F264" s="34" t="s">
        <v>954</v>
      </c>
      <c r="G264" s="33"/>
      <c r="H264" s="33"/>
      <c r="I264" s="221">
        <v>-43.13</v>
      </c>
      <c r="J264" s="215"/>
      <c r="K264" s="170" t="s">
        <v>95</v>
      </c>
      <c r="L264" s="89"/>
      <c r="M264" s="89"/>
      <c r="N264" s="89"/>
      <c r="O264" s="175"/>
    </row>
    <row r="265" spans="1:15" ht="15" customHeight="1" x14ac:dyDescent="0.25">
      <c r="A265" s="87" t="s">
        <v>803</v>
      </c>
      <c r="B265" s="39" t="s">
        <v>804</v>
      </c>
      <c r="C265" s="39">
        <v>2010</v>
      </c>
      <c r="D265" s="36" t="s">
        <v>800</v>
      </c>
      <c r="E265" s="36" t="s">
        <v>955</v>
      </c>
      <c r="F265" s="38" t="s">
        <v>956</v>
      </c>
      <c r="G265" s="36"/>
      <c r="H265" s="36"/>
      <c r="I265" s="220">
        <v>-30400</v>
      </c>
      <c r="J265" s="215"/>
      <c r="K265" s="170" t="s">
        <v>94</v>
      </c>
      <c r="L265" s="89"/>
      <c r="M265" s="89"/>
      <c r="N265" s="89"/>
      <c r="O265" s="175"/>
    </row>
    <row r="266" spans="1:15" ht="15" customHeight="1" x14ac:dyDescent="0.25">
      <c r="A266" s="87" t="s">
        <v>805</v>
      </c>
      <c r="B266" s="36" t="s">
        <v>806</v>
      </c>
      <c r="C266" s="39">
        <v>2010</v>
      </c>
      <c r="D266" s="36" t="s">
        <v>800</v>
      </c>
      <c r="E266" s="36" t="s">
        <v>955</v>
      </c>
      <c r="F266" s="38" t="s">
        <v>956</v>
      </c>
      <c r="G266" s="36"/>
      <c r="H266" s="36"/>
      <c r="I266" s="220">
        <v>-60800</v>
      </c>
      <c r="J266" s="215"/>
      <c r="K266" s="170" t="s">
        <v>94</v>
      </c>
      <c r="L266" s="89"/>
      <c r="M266" s="89"/>
      <c r="N266" s="89"/>
      <c r="O266" s="175"/>
    </row>
    <row r="267" spans="1:15" ht="15" customHeight="1" x14ac:dyDescent="0.25">
      <c r="A267" s="87" t="s">
        <v>809</v>
      </c>
      <c r="B267" s="36" t="s">
        <v>810</v>
      </c>
      <c r="C267" s="39">
        <v>2010</v>
      </c>
      <c r="D267" s="36" t="s">
        <v>800</v>
      </c>
      <c r="E267" s="36" t="s">
        <v>955</v>
      </c>
      <c r="F267" s="38" t="s">
        <v>956</v>
      </c>
      <c r="G267" s="36"/>
      <c r="H267" s="36"/>
      <c r="I267" s="220">
        <v>-60800</v>
      </c>
      <c r="J267" s="215"/>
      <c r="K267" s="170" t="s">
        <v>94</v>
      </c>
      <c r="L267" s="89"/>
      <c r="M267" s="89"/>
      <c r="N267" s="89"/>
      <c r="O267" s="175"/>
    </row>
    <row r="268" spans="1:15" ht="15" customHeight="1" x14ac:dyDescent="0.25">
      <c r="A268" s="87" t="s">
        <v>811</v>
      </c>
      <c r="B268" s="33" t="s">
        <v>812</v>
      </c>
      <c r="C268" s="35">
        <v>2010</v>
      </c>
      <c r="D268" s="33" t="s">
        <v>800</v>
      </c>
      <c r="E268" s="33" t="s">
        <v>955</v>
      </c>
      <c r="F268" s="34" t="s">
        <v>956</v>
      </c>
      <c r="G268" s="33"/>
      <c r="H268" s="33"/>
      <c r="I268" s="221">
        <v>-60800</v>
      </c>
      <c r="J268" s="215"/>
      <c r="K268" s="170" t="s">
        <v>94</v>
      </c>
      <c r="L268" s="89"/>
      <c r="M268" s="89"/>
      <c r="N268" s="89"/>
      <c r="O268" s="175"/>
    </row>
    <row r="269" spans="1:15" ht="15" customHeight="1" x14ac:dyDescent="0.25">
      <c r="A269" s="87" t="s">
        <v>803</v>
      </c>
      <c r="B269" s="39" t="s">
        <v>804</v>
      </c>
      <c r="C269" s="39">
        <v>2010</v>
      </c>
      <c r="D269" s="36" t="s">
        <v>800</v>
      </c>
      <c r="E269" s="36" t="s">
        <v>959</v>
      </c>
      <c r="F269" s="38" t="s">
        <v>960</v>
      </c>
      <c r="G269" s="36"/>
      <c r="H269" s="36"/>
      <c r="I269" s="220">
        <v>-107024</v>
      </c>
      <c r="J269" s="215"/>
      <c r="K269" s="170" t="s">
        <v>94</v>
      </c>
      <c r="L269" s="89"/>
      <c r="M269" s="89"/>
      <c r="N269" s="89"/>
      <c r="O269" s="175"/>
    </row>
    <row r="270" spans="1:15" ht="15" customHeight="1" x14ac:dyDescent="0.25">
      <c r="A270" s="87" t="s">
        <v>805</v>
      </c>
      <c r="B270" s="36" t="s">
        <v>806</v>
      </c>
      <c r="C270" s="39">
        <v>2010</v>
      </c>
      <c r="D270" s="36" t="s">
        <v>800</v>
      </c>
      <c r="E270" s="36" t="s">
        <v>959</v>
      </c>
      <c r="F270" s="38" t="s">
        <v>960</v>
      </c>
      <c r="G270" s="36"/>
      <c r="H270" s="36"/>
      <c r="I270" s="220">
        <v>-324660</v>
      </c>
      <c r="J270" s="215"/>
      <c r="K270" s="170" t="s">
        <v>94</v>
      </c>
      <c r="L270" s="89"/>
      <c r="M270" s="89"/>
      <c r="N270" s="89"/>
      <c r="O270" s="175"/>
    </row>
    <row r="271" spans="1:15" ht="15" customHeight="1" x14ac:dyDescent="0.25">
      <c r="A271" s="87" t="s">
        <v>893</v>
      </c>
      <c r="B271" s="33" t="s">
        <v>894</v>
      </c>
      <c r="C271" s="35">
        <v>2010</v>
      </c>
      <c r="D271" s="33" t="s">
        <v>800</v>
      </c>
      <c r="E271" s="33" t="s">
        <v>959</v>
      </c>
      <c r="F271" s="34" t="s">
        <v>960</v>
      </c>
      <c r="G271" s="33"/>
      <c r="H271" s="33"/>
      <c r="I271" s="221">
        <v>-28083</v>
      </c>
      <c r="J271" s="215"/>
      <c r="K271" s="170" t="s">
        <v>94</v>
      </c>
      <c r="L271" s="89"/>
      <c r="M271" s="89"/>
      <c r="N271" s="89"/>
      <c r="O271" s="175"/>
    </row>
    <row r="272" spans="1:15" ht="15" customHeight="1" x14ac:dyDescent="0.25">
      <c r="A272" s="87" t="s">
        <v>929</v>
      </c>
      <c r="B272" s="33" t="s">
        <v>930</v>
      </c>
      <c r="C272" s="35">
        <v>2010</v>
      </c>
      <c r="D272" s="33" t="s">
        <v>800</v>
      </c>
      <c r="E272" s="33" t="s">
        <v>959</v>
      </c>
      <c r="F272" s="34" t="s">
        <v>960</v>
      </c>
      <c r="G272" s="33"/>
      <c r="H272" s="33"/>
      <c r="I272" s="221">
        <v>-113191</v>
      </c>
      <c r="J272" s="215"/>
      <c r="K272" s="170" t="s">
        <v>94</v>
      </c>
      <c r="L272" s="89"/>
      <c r="M272" s="89"/>
      <c r="N272" s="89"/>
      <c r="O272" s="175"/>
    </row>
    <row r="273" spans="1:15" ht="15" customHeight="1" x14ac:dyDescent="0.25">
      <c r="A273" s="87" t="s">
        <v>798</v>
      </c>
      <c r="B273" s="39" t="s">
        <v>799</v>
      </c>
      <c r="C273" s="39">
        <v>2010</v>
      </c>
      <c r="D273" s="36" t="s">
        <v>800</v>
      </c>
      <c r="E273" s="36" t="s">
        <v>959</v>
      </c>
      <c r="F273" s="215" t="s">
        <v>960</v>
      </c>
      <c r="G273" s="36"/>
      <c r="H273" s="36"/>
      <c r="I273" s="220">
        <v>-1068384</v>
      </c>
      <c r="J273" s="215"/>
      <c r="K273" s="170" t="s">
        <v>87</v>
      </c>
      <c r="L273" s="89"/>
      <c r="M273" s="89"/>
      <c r="N273" s="89"/>
      <c r="O273" s="175"/>
    </row>
    <row r="274" spans="1:15" ht="15" customHeight="1" x14ac:dyDescent="0.25">
      <c r="A274" s="87" t="s">
        <v>957</v>
      </c>
      <c r="B274" s="39" t="s">
        <v>958</v>
      </c>
      <c r="C274" s="39">
        <v>2010</v>
      </c>
      <c r="D274" s="36" t="s">
        <v>800</v>
      </c>
      <c r="E274" s="36" t="s">
        <v>959</v>
      </c>
      <c r="F274" s="215" t="s">
        <v>960</v>
      </c>
      <c r="G274" s="36"/>
      <c r="H274" s="36"/>
      <c r="I274" s="220">
        <v>-34180</v>
      </c>
      <c r="J274" s="215"/>
      <c r="K274" s="170" t="s">
        <v>95</v>
      </c>
      <c r="L274" s="89"/>
      <c r="M274" s="89"/>
      <c r="N274" s="89"/>
      <c r="O274" s="175"/>
    </row>
    <row r="275" spans="1:15" ht="15" customHeight="1" x14ac:dyDescent="0.25">
      <c r="A275" s="87" t="s">
        <v>879</v>
      </c>
      <c r="B275" s="39" t="s">
        <v>880</v>
      </c>
      <c r="C275" s="39">
        <v>2010</v>
      </c>
      <c r="D275" s="36" t="s">
        <v>800</v>
      </c>
      <c r="E275" s="36" t="s">
        <v>959</v>
      </c>
      <c r="F275" s="215" t="s">
        <v>960</v>
      </c>
      <c r="G275" s="36"/>
      <c r="H275" s="36"/>
      <c r="I275" s="220">
        <v>-26195</v>
      </c>
      <c r="J275" s="215"/>
      <c r="K275" s="170" t="s">
        <v>95</v>
      </c>
      <c r="L275" s="89"/>
      <c r="M275" s="89"/>
      <c r="N275" s="89"/>
      <c r="O275" s="175"/>
    </row>
    <row r="276" spans="1:15" ht="15" customHeight="1" x14ac:dyDescent="0.25">
      <c r="A276" s="87" t="s">
        <v>929</v>
      </c>
      <c r="B276" s="33" t="s">
        <v>930</v>
      </c>
      <c r="C276" s="35">
        <v>2010</v>
      </c>
      <c r="D276" s="33" t="s">
        <v>800</v>
      </c>
      <c r="E276" s="33" t="s">
        <v>961</v>
      </c>
      <c r="F276" s="34" t="s">
        <v>962</v>
      </c>
      <c r="G276" s="33"/>
      <c r="H276" s="33"/>
      <c r="I276" s="221">
        <v>-105975.39</v>
      </c>
      <c r="J276" s="215"/>
      <c r="K276" s="170" t="s">
        <v>93</v>
      </c>
      <c r="L276" s="89"/>
      <c r="M276" s="89"/>
      <c r="N276" s="89"/>
      <c r="O276" s="175"/>
    </row>
    <row r="277" spans="1:15" ht="15" customHeight="1" x14ac:dyDescent="0.25">
      <c r="A277" s="87" t="s">
        <v>798</v>
      </c>
      <c r="B277" s="39" t="s">
        <v>799</v>
      </c>
      <c r="C277" s="39">
        <v>2010</v>
      </c>
      <c r="D277" s="36" t="s">
        <v>800</v>
      </c>
      <c r="E277" s="36" t="s">
        <v>961</v>
      </c>
      <c r="F277" s="215" t="s">
        <v>962</v>
      </c>
      <c r="G277" s="36"/>
      <c r="H277" s="36"/>
      <c r="I277" s="220">
        <v>-982864.86</v>
      </c>
      <c r="J277" s="215"/>
      <c r="K277" s="170" t="s">
        <v>87</v>
      </c>
      <c r="L277" s="89"/>
      <c r="M277" s="89"/>
      <c r="N277" s="89"/>
      <c r="O277" s="175"/>
    </row>
    <row r="278" spans="1:15" ht="15" customHeight="1" x14ac:dyDescent="0.25">
      <c r="A278" s="87" t="s">
        <v>803</v>
      </c>
      <c r="B278" s="39" t="s">
        <v>804</v>
      </c>
      <c r="C278" s="39">
        <v>2010</v>
      </c>
      <c r="D278" s="36" t="s">
        <v>800</v>
      </c>
      <c r="E278" s="36" t="s">
        <v>965</v>
      </c>
      <c r="F278" s="38" t="s">
        <v>966</v>
      </c>
      <c r="G278" s="36"/>
      <c r="H278" s="36"/>
      <c r="I278" s="220">
        <v>-120000</v>
      </c>
      <c r="J278" s="215"/>
      <c r="K278" s="170" t="s">
        <v>94</v>
      </c>
      <c r="L278" s="89"/>
      <c r="M278" s="89"/>
      <c r="N278" s="89"/>
      <c r="O278" s="175"/>
    </row>
    <row r="279" spans="1:15" ht="15" customHeight="1" x14ac:dyDescent="0.25">
      <c r="A279" s="87" t="s">
        <v>807</v>
      </c>
      <c r="B279" s="36" t="s">
        <v>808</v>
      </c>
      <c r="C279" s="39">
        <v>2010</v>
      </c>
      <c r="D279" s="36" t="s">
        <v>800</v>
      </c>
      <c r="E279" s="36" t="s">
        <v>965</v>
      </c>
      <c r="F279" s="38" t="s">
        <v>966</v>
      </c>
      <c r="G279" s="36"/>
      <c r="H279" s="36"/>
      <c r="I279" s="220">
        <v>-50000</v>
      </c>
      <c r="J279" s="215"/>
      <c r="K279" s="170" t="s">
        <v>94</v>
      </c>
      <c r="L279" s="89"/>
      <c r="M279" s="89"/>
      <c r="N279" s="89"/>
      <c r="O279" s="175"/>
    </row>
    <row r="280" spans="1:15" ht="15" customHeight="1" x14ac:dyDescent="0.25">
      <c r="A280" s="87" t="s">
        <v>809</v>
      </c>
      <c r="B280" s="36" t="s">
        <v>810</v>
      </c>
      <c r="C280" s="39">
        <v>2010</v>
      </c>
      <c r="D280" s="36" t="s">
        <v>800</v>
      </c>
      <c r="E280" s="36" t="s">
        <v>965</v>
      </c>
      <c r="F280" s="38" t="s">
        <v>966</v>
      </c>
      <c r="G280" s="36"/>
      <c r="H280" s="36"/>
      <c r="I280" s="220">
        <v>-20000</v>
      </c>
      <c r="J280" s="215"/>
      <c r="K280" s="170" t="s">
        <v>94</v>
      </c>
      <c r="L280" s="89"/>
      <c r="M280" s="89"/>
      <c r="N280" s="89"/>
      <c r="O280" s="175"/>
    </row>
    <row r="281" spans="1:15" ht="15" customHeight="1" x14ac:dyDescent="0.25">
      <c r="A281" s="87" t="s">
        <v>798</v>
      </c>
      <c r="B281" s="39" t="s">
        <v>799</v>
      </c>
      <c r="C281" s="39">
        <v>2010</v>
      </c>
      <c r="D281" s="36" t="s">
        <v>800</v>
      </c>
      <c r="E281" s="36" t="s">
        <v>965</v>
      </c>
      <c r="F281" s="215" t="s">
        <v>966</v>
      </c>
      <c r="G281" s="36"/>
      <c r="H281" s="36"/>
      <c r="I281" s="220">
        <v>-536541</v>
      </c>
      <c r="J281" s="215"/>
      <c r="K281" s="170" t="s">
        <v>87</v>
      </c>
      <c r="L281" s="89"/>
      <c r="M281" s="89"/>
      <c r="N281" s="89"/>
      <c r="O281" s="175"/>
    </row>
    <row r="282" spans="1:15" ht="15" customHeight="1" x14ac:dyDescent="0.25">
      <c r="A282" s="87" t="s">
        <v>963</v>
      </c>
      <c r="B282" s="39" t="s">
        <v>964</v>
      </c>
      <c r="C282" s="39">
        <v>2010</v>
      </c>
      <c r="D282" s="36" t="s">
        <v>800</v>
      </c>
      <c r="E282" s="36" t="s">
        <v>965</v>
      </c>
      <c r="F282" s="215" t="s">
        <v>966</v>
      </c>
      <c r="G282" s="36"/>
      <c r="H282" s="36"/>
      <c r="I282" s="220">
        <v>50000</v>
      </c>
      <c r="J282" s="215"/>
      <c r="K282" s="170" t="s">
        <v>95</v>
      </c>
      <c r="L282" s="89"/>
      <c r="M282" s="89"/>
      <c r="N282" s="89"/>
      <c r="O282" s="175"/>
    </row>
    <row r="283" spans="1:15" ht="15" customHeight="1" x14ac:dyDescent="0.25">
      <c r="I283" s="252"/>
    </row>
  </sheetData>
  <autoFilter ref="A3:O413" xr:uid="{00000000-0001-0000-0300-000000000000}"/>
  <sortState xmlns:xlrd2="http://schemas.microsoft.com/office/spreadsheetml/2017/richdata2" ref="A4:O282">
    <sortCondition ref="E4:E282"/>
  </sortState>
  <phoneticPr fontId="39" type="noConversion"/>
  <conditionalFormatting sqref="J4:J2378">
    <cfRule type="expression" dxfId="8" priority="1">
      <formula>AND(COUNTA($L4,$M4,$N4)&gt;0,$J4&lt;&gt;SUM($L4:$N4))</formula>
    </cfRule>
  </conditionalFormatting>
  <conditionalFormatting sqref="K4:K50000">
    <cfRule type="expression" dxfId="7" priority="2">
      <formula>AND($I4&lt;&gt;"",LEN(TRIM($K4))=0)</formula>
    </cfRule>
  </conditionalFormatting>
  <conditionalFormatting sqref="O4:O2378">
    <cfRule type="expression" dxfId="6" priority="4">
      <formula>AND($O4="",OR(COUNTA($L4,$M4,$N4)&gt;0,COUNTA($J4)&gt;0))</formula>
    </cfRule>
  </conditionalFormatting>
  <conditionalFormatting sqref="R4:R28">
    <cfRule type="duplicateValues" dxfId="5" priority="10"/>
  </conditionalFormatting>
  <conditionalFormatting sqref="U4:U21">
    <cfRule type="duplicateValues" dxfId="4" priority="6"/>
  </conditionalFormatting>
  <conditionalFormatting sqref="U22:U27">
    <cfRule type="duplicateValues" dxfId="3" priority="8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pageSetup paperSize="9" orientation="portrait" r:id="rId1"/>
  <legacy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K414:K2377</xm:sqref>
        </x14:dataValidation>
        <x14:dataValidation type="list" allowBlank="1" showInputMessage="1" showErrorMessage="1" xr:uid="{5948F5B7-AD08-447A-A5A2-C11509358587}">
          <x14:formula1>
            <xm:f>Metadata!$P$4:$P$24</xm:f>
          </x14:formula1>
          <xm:sqref>K4:K282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106"/>
  <sheetViews>
    <sheetView showGridLines="0" zoomScale="85" zoomScaleNormal="85" workbookViewId="0">
      <pane ySplit="3" topLeftCell="A4" activePane="bottomLeft" state="frozen"/>
      <selection activeCell="O1" sqref="O1"/>
      <selection pane="bottomLeft" activeCell="K21" sqref="K21"/>
    </sheetView>
  </sheetViews>
  <sheetFormatPr baseColWidth="10"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style="252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342" t="s">
        <v>761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62"/>
      <c r="O1" s="62"/>
    </row>
    <row r="2" spans="1:25" ht="40.700000000000003" customHeight="1" thickBot="1" x14ac:dyDescent="0.3">
      <c r="A2" s="100" t="s">
        <v>68</v>
      </c>
      <c r="B2" s="9"/>
      <c r="C2" s="9"/>
      <c r="D2" s="9"/>
      <c r="E2" s="9"/>
      <c r="F2" s="9"/>
      <c r="G2" s="9"/>
      <c r="H2" s="9"/>
      <c r="I2" s="304" t="s">
        <v>719</v>
      </c>
      <c r="J2" s="9" t="s">
        <v>719</v>
      </c>
      <c r="K2" s="9"/>
      <c r="L2" s="9" t="s">
        <v>718</v>
      </c>
      <c r="M2" s="9" t="s">
        <v>718</v>
      </c>
      <c r="N2" s="9" t="s">
        <v>717</v>
      </c>
      <c r="O2" s="9"/>
      <c r="S2" s="66" t="s">
        <v>101</v>
      </c>
      <c r="T2" s="66"/>
      <c r="U2" s="66"/>
      <c r="V2" s="66"/>
      <c r="W2" s="66"/>
      <c r="X2" s="66"/>
      <c r="Y2" s="66"/>
    </row>
    <row r="3" spans="1:25" ht="92.45" customHeight="1" thickBot="1" x14ac:dyDescent="0.3">
      <c r="A3" s="223" t="s">
        <v>74</v>
      </c>
      <c r="B3" s="223" t="s">
        <v>75</v>
      </c>
      <c r="C3" s="223" t="s">
        <v>76</v>
      </c>
      <c r="D3" s="9" t="s">
        <v>77</v>
      </c>
      <c r="E3" s="9" t="s">
        <v>78</v>
      </c>
      <c r="F3" s="9" t="s">
        <v>79</v>
      </c>
      <c r="G3" s="9" t="s">
        <v>709</v>
      </c>
      <c r="H3" s="9" t="s">
        <v>739</v>
      </c>
      <c r="I3" s="304" t="s">
        <v>80</v>
      </c>
      <c r="J3" s="171" t="s">
        <v>81</v>
      </c>
      <c r="K3" s="172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S3" s="218" t="s">
        <v>795</v>
      </c>
      <c r="T3" s="219" t="s">
        <v>70</v>
      </c>
      <c r="V3" s="201" t="s">
        <v>69</v>
      </c>
      <c r="W3" s="53" t="s">
        <v>71</v>
      </c>
      <c r="X3" s="53" t="s">
        <v>72</v>
      </c>
      <c r="Y3" s="53" t="s">
        <v>73</v>
      </c>
    </row>
    <row r="4" spans="1:25" ht="15" customHeight="1" x14ac:dyDescent="0.25">
      <c r="A4" s="88" t="s">
        <v>807</v>
      </c>
      <c r="B4" s="88" t="s">
        <v>808</v>
      </c>
      <c r="C4" s="88">
        <v>2210</v>
      </c>
      <c r="D4" s="88" t="s">
        <v>1003</v>
      </c>
      <c r="E4" s="88" t="s">
        <v>801</v>
      </c>
      <c r="F4" s="88" t="s">
        <v>802</v>
      </c>
      <c r="G4" s="88"/>
      <c r="H4" s="88"/>
      <c r="I4" s="305">
        <v>36907.58</v>
      </c>
      <c r="J4" s="215"/>
      <c r="K4" s="90" t="s">
        <v>84</v>
      </c>
      <c r="L4" s="89"/>
      <c r="M4" s="89"/>
      <c r="N4" s="89"/>
      <c r="O4" s="175"/>
      <c r="S4" s="67" t="s">
        <v>84</v>
      </c>
      <c r="T4" s="71">
        <f t="shared" ref="T4:T27" si="0">IFERROR(SUMIF(K$4:K$20000,$S4,I$4:I$20000),0)+IFERROR(SUMIF(K$4:K$20000,$S4,J$4:J$20000),0)</f>
        <v>4830815.0599999996</v>
      </c>
      <c r="V4" s="17" t="s">
        <v>84</v>
      </c>
      <c r="W4" s="63">
        <f t="shared" ref="W4:W27" si="1">+IFERROR(SUMIF(K$4:K$20000,S4,L$4:L$20000),0)</f>
        <v>0</v>
      </c>
      <c r="X4" s="64">
        <f t="shared" ref="X4:X27" si="2">+IFERROR(SUMIF(K$4:K$20000,S4,M$4:M$20000),0)</f>
        <v>0</v>
      </c>
      <c r="Y4" s="65">
        <f t="shared" ref="Y4:Y27" si="3">+IFERROR(SUMIF(K$4:K$20000,S4,N$4:N$20000),0)</f>
        <v>0</v>
      </c>
    </row>
    <row r="5" spans="1:25" ht="15" customHeight="1" x14ac:dyDescent="0.25">
      <c r="A5" s="88" t="s">
        <v>834</v>
      </c>
      <c r="B5" s="88" t="s">
        <v>835</v>
      </c>
      <c r="C5" s="88">
        <v>2210</v>
      </c>
      <c r="D5" s="88" t="s">
        <v>1003</v>
      </c>
      <c r="E5" s="88" t="s">
        <v>801</v>
      </c>
      <c r="F5" s="88" t="s">
        <v>802</v>
      </c>
      <c r="G5" s="88"/>
      <c r="H5" s="88"/>
      <c r="I5" s="305">
        <v>159355.88</v>
      </c>
      <c r="J5" s="215"/>
      <c r="K5" s="90" t="s">
        <v>84</v>
      </c>
      <c r="L5" s="89"/>
      <c r="M5" s="89"/>
      <c r="N5" s="89"/>
      <c r="O5" s="175"/>
      <c r="S5" s="68" t="s">
        <v>85</v>
      </c>
      <c r="T5" s="71">
        <f t="shared" si="0"/>
        <v>1221362.82</v>
      </c>
      <c r="V5" s="22" t="s">
        <v>85</v>
      </c>
      <c r="W5" s="63">
        <f t="shared" si="1"/>
        <v>0</v>
      </c>
      <c r="X5" s="64">
        <f t="shared" si="2"/>
        <v>0</v>
      </c>
      <c r="Y5" s="65">
        <f t="shared" si="3"/>
        <v>0</v>
      </c>
    </row>
    <row r="6" spans="1:25" ht="15" customHeight="1" x14ac:dyDescent="0.25">
      <c r="A6" s="88" t="s">
        <v>1004</v>
      </c>
      <c r="B6" s="88" t="s">
        <v>1005</v>
      </c>
      <c r="C6" s="88">
        <v>2210</v>
      </c>
      <c r="D6" s="88" t="s">
        <v>1003</v>
      </c>
      <c r="E6" s="88" t="s">
        <v>801</v>
      </c>
      <c r="F6" s="88" t="s">
        <v>802</v>
      </c>
      <c r="G6" s="88"/>
      <c r="H6" s="88"/>
      <c r="I6" s="305">
        <v>1378091.18</v>
      </c>
      <c r="J6" s="215"/>
      <c r="K6" s="90" t="s">
        <v>84</v>
      </c>
      <c r="L6" s="89"/>
      <c r="M6" s="89"/>
      <c r="N6" s="89"/>
      <c r="O6" s="175"/>
      <c r="S6" s="67" t="s">
        <v>86</v>
      </c>
      <c r="T6" s="71">
        <f t="shared" si="0"/>
        <v>804085.29</v>
      </c>
      <c r="V6" s="17" t="s">
        <v>86</v>
      </c>
      <c r="W6" s="63">
        <f t="shared" si="1"/>
        <v>0</v>
      </c>
      <c r="X6" s="64">
        <f t="shared" si="2"/>
        <v>0</v>
      </c>
      <c r="Y6" s="65">
        <f t="shared" si="3"/>
        <v>0</v>
      </c>
    </row>
    <row r="7" spans="1:25" ht="15" customHeight="1" x14ac:dyDescent="0.25">
      <c r="A7" s="88" t="s">
        <v>1004</v>
      </c>
      <c r="B7" s="88" t="s">
        <v>1005</v>
      </c>
      <c r="C7" s="88">
        <v>2210</v>
      </c>
      <c r="D7" s="88" t="s">
        <v>1003</v>
      </c>
      <c r="E7" s="88" t="s">
        <v>817</v>
      </c>
      <c r="F7" s="88" t="s">
        <v>818</v>
      </c>
      <c r="G7" s="88"/>
      <c r="H7" s="88"/>
      <c r="I7" s="305">
        <v>6840.64</v>
      </c>
      <c r="J7" s="215"/>
      <c r="K7" s="90" t="s">
        <v>84</v>
      </c>
      <c r="L7" s="89"/>
      <c r="M7" s="89"/>
      <c r="N7" s="89"/>
      <c r="O7" s="175"/>
      <c r="S7" s="68" t="s">
        <v>88</v>
      </c>
      <c r="T7" s="71">
        <f t="shared" si="0"/>
        <v>2481361.5099999998</v>
      </c>
      <c r="V7" s="22" t="s">
        <v>88</v>
      </c>
      <c r="W7" s="63">
        <f t="shared" si="1"/>
        <v>0</v>
      </c>
      <c r="X7" s="64">
        <f t="shared" si="2"/>
        <v>0</v>
      </c>
      <c r="Y7" s="65">
        <f t="shared" si="3"/>
        <v>0</v>
      </c>
    </row>
    <row r="8" spans="1:25" ht="15" customHeight="1" x14ac:dyDescent="0.25">
      <c r="A8" s="88" t="s">
        <v>834</v>
      </c>
      <c r="B8" s="88" t="s">
        <v>835</v>
      </c>
      <c r="C8" s="88">
        <v>2210</v>
      </c>
      <c r="D8" s="88" t="s">
        <v>1003</v>
      </c>
      <c r="E8" s="88" t="s">
        <v>821</v>
      </c>
      <c r="F8" s="88" t="s">
        <v>822</v>
      </c>
      <c r="G8" s="88"/>
      <c r="H8" s="88"/>
      <c r="I8" s="305">
        <v>35271.56</v>
      </c>
      <c r="J8" s="215"/>
      <c r="K8" s="90" t="s">
        <v>84</v>
      </c>
      <c r="L8" s="89"/>
      <c r="M8" s="89"/>
      <c r="N8" s="89"/>
      <c r="O8" s="175"/>
      <c r="S8" s="67" t="s">
        <v>89</v>
      </c>
      <c r="T8" s="71">
        <f t="shared" si="0"/>
        <v>543566.13</v>
      </c>
      <c r="V8" s="17" t="s">
        <v>89</v>
      </c>
      <c r="W8" s="63">
        <f t="shared" si="1"/>
        <v>0</v>
      </c>
      <c r="X8" s="64">
        <f t="shared" si="2"/>
        <v>0</v>
      </c>
      <c r="Y8" s="65">
        <f t="shared" si="3"/>
        <v>0</v>
      </c>
    </row>
    <row r="9" spans="1:25" ht="15" customHeight="1" x14ac:dyDescent="0.25">
      <c r="A9" s="88" t="s">
        <v>1004</v>
      </c>
      <c r="B9" s="88" t="s">
        <v>1005</v>
      </c>
      <c r="C9" s="88">
        <v>2210</v>
      </c>
      <c r="D9" s="88" t="s">
        <v>1003</v>
      </c>
      <c r="E9" s="88" t="s">
        <v>821</v>
      </c>
      <c r="F9" s="88" t="s">
        <v>822</v>
      </c>
      <c r="G9" s="88"/>
      <c r="H9" s="88"/>
      <c r="I9" s="305">
        <v>-17031.060000000001</v>
      </c>
      <c r="J9" s="215"/>
      <c r="K9" s="90" t="s">
        <v>84</v>
      </c>
      <c r="L9" s="89"/>
      <c r="M9" s="89"/>
      <c r="N9" s="89"/>
      <c r="O9" s="175"/>
      <c r="S9" s="68" t="s">
        <v>90</v>
      </c>
      <c r="T9" s="71">
        <f t="shared" si="0"/>
        <v>-360367</v>
      </c>
      <c r="V9" s="22" t="s">
        <v>90</v>
      </c>
      <c r="W9" s="63">
        <f t="shared" si="1"/>
        <v>0</v>
      </c>
      <c r="X9" s="64">
        <f t="shared" si="2"/>
        <v>0</v>
      </c>
      <c r="Y9" s="65">
        <f t="shared" si="3"/>
        <v>0</v>
      </c>
    </row>
    <row r="10" spans="1:25" ht="15" customHeight="1" x14ac:dyDescent="0.25">
      <c r="A10" s="88" t="s">
        <v>834</v>
      </c>
      <c r="B10" s="88" t="s">
        <v>835</v>
      </c>
      <c r="C10" s="88">
        <v>2210</v>
      </c>
      <c r="D10" s="88" t="s">
        <v>1003</v>
      </c>
      <c r="E10" s="88" t="s">
        <v>825</v>
      </c>
      <c r="F10" s="88" t="s">
        <v>826</v>
      </c>
      <c r="G10" s="88"/>
      <c r="H10" s="88"/>
      <c r="I10" s="305">
        <v>659.06</v>
      </c>
      <c r="J10" s="215"/>
      <c r="K10" s="90" t="s">
        <v>84</v>
      </c>
      <c r="L10" s="89"/>
      <c r="M10" s="89"/>
      <c r="N10" s="89"/>
      <c r="O10" s="175"/>
      <c r="S10" s="67" t="s">
        <v>91</v>
      </c>
      <c r="T10" s="71">
        <f t="shared" si="0"/>
        <v>-543566.13</v>
      </c>
      <c r="V10" s="17" t="s">
        <v>91</v>
      </c>
      <c r="W10" s="63">
        <f t="shared" si="1"/>
        <v>0</v>
      </c>
      <c r="X10" s="64">
        <f t="shared" si="2"/>
        <v>0</v>
      </c>
      <c r="Y10" s="65">
        <f t="shared" si="3"/>
        <v>0</v>
      </c>
    </row>
    <row r="11" spans="1:25" ht="15" customHeight="1" x14ac:dyDescent="0.25">
      <c r="A11" s="88" t="s">
        <v>1004</v>
      </c>
      <c r="B11" s="88" t="s">
        <v>1005</v>
      </c>
      <c r="C11" s="88">
        <v>2210</v>
      </c>
      <c r="D11" s="88" t="s">
        <v>1003</v>
      </c>
      <c r="E11" s="88" t="s">
        <v>827</v>
      </c>
      <c r="F11" s="88" t="s">
        <v>828</v>
      </c>
      <c r="G11" s="88"/>
      <c r="H11" s="88"/>
      <c r="I11" s="305">
        <v>1346.95</v>
      </c>
      <c r="J11" s="215"/>
      <c r="K11" s="90" t="s">
        <v>84</v>
      </c>
      <c r="L11" s="89"/>
      <c r="M11" s="89"/>
      <c r="N11" s="89"/>
      <c r="O11" s="175"/>
      <c r="S11" s="68" t="s">
        <v>760</v>
      </c>
      <c r="T11" s="71">
        <f t="shared" si="0"/>
        <v>0</v>
      </c>
      <c r="V11" s="22" t="s">
        <v>760</v>
      </c>
      <c r="W11" s="63">
        <f t="shared" si="1"/>
        <v>0</v>
      </c>
      <c r="X11" s="64">
        <f t="shared" si="2"/>
        <v>0</v>
      </c>
      <c r="Y11" s="65">
        <f t="shared" si="3"/>
        <v>0</v>
      </c>
    </row>
    <row r="12" spans="1:25" ht="15" customHeight="1" x14ac:dyDescent="0.25">
      <c r="A12" s="88" t="s">
        <v>1004</v>
      </c>
      <c r="B12" s="88" t="s">
        <v>1005</v>
      </c>
      <c r="C12" s="88">
        <v>2210</v>
      </c>
      <c r="D12" s="88" t="s">
        <v>1003</v>
      </c>
      <c r="E12" s="88" t="s">
        <v>830</v>
      </c>
      <c r="F12" s="88" t="s">
        <v>831</v>
      </c>
      <c r="G12" s="88"/>
      <c r="H12" s="88"/>
      <c r="I12" s="305">
        <v>4392</v>
      </c>
      <c r="J12" s="215"/>
      <c r="K12" s="90" t="s">
        <v>84</v>
      </c>
      <c r="L12" s="89"/>
      <c r="M12" s="89"/>
      <c r="N12" s="89"/>
      <c r="O12" s="175"/>
      <c r="S12" s="67" t="s">
        <v>726</v>
      </c>
      <c r="T12" s="71">
        <f t="shared" si="0"/>
        <v>0</v>
      </c>
      <c r="V12" s="17" t="s">
        <v>726</v>
      </c>
      <c r="W12" s="63">
        <f t="shared" si="1"/>
        <v>0</v>
      </c>
      <c r="X12" s="64">
        <f t="shared" si="2"/>
        <v>0</v>
      </c>
      <c r="Y12" s="65">
        <f t="shared" si="3"/>
        <v>0</v>
      </c>
    </row>
    <row r="13" spans="1:25" ht="15" customHeight="1" x14ac:dyDescent="0.25">
      <c r="A13" s="88" t="s">
        <v>834</v>
      </c>
      <c r="B13" s="88" t="s">
        <v>835</v>
      </c>
      <c r="C13" s="88">
        <v>2210</v>
      </c>
      <c r="D13" s="88" t="s">
        <v>1003</v>
      </c>
      <c r="E13" s="88" t="s">
        <v>832</v>
      </c>
      <c r="F13" s="88" t="s">
        <v>833</v>
      </c>
      <c r="G13" s="88"/>
      <c r="H13" s="88"/>
      <c r="I13" s="305">
        <v>2422.61</v>
      </c>
      <c r="J13" s="215"/>
      <c r="K13" s="90" t="s">
        <v>84</v>
      </c>
      <c r="L13" s="89"/>
      <c r="M13" s="89"/>
      <c r="N13" s="89"/>
      <c r="O13" s="175"/>
      <c r="S13" s="68" t="s">
        <v>92</v>
      </c>
      <c r="T13" s="71">
        <f t="shared" si="0"/>
        <v>0</v>
      </c>
      <c r="V13" s="22" t="s">
        <v>92</v>
      </c>
      <c r="W13" s="63">
        <f t="shared" si="1"/>
        <v>0</v>
      </c>
      <c r="X13" s="64">
        <f t="shared" si="2"/>
        <v>0</v>
      </c>
      <c r="Y13" s="65">
        <f t="shared" si="3"/>
        <v>0</v>
      </c>
    </row>
    <row r="14" spans="1:25" ht="15" customHeight="1" x14ac:dyDescent="0.25">
      <c r="A14" s="88" t="s">
        <v>834</v>
      </c>
      <c r="B14" s="88" t="s">
        <v>835</v>
      </c>
      <c r="C14" s="88">
        <v>2210</v>
      </c>
      <c r="D14" s="88" t="s">
        <v>1003</v>
      </c>
      <c r="E14" s="88" t="s">
        <v>1006</v>
      </c>
      <c r="F14" s="88" t="s">
        <v>1007</v>
      </c>
      <c r="G14" s="88"/>
      <c r="H14" s="88"/>
      <c r="I14" s="305">
        <v>2815896.56</v>
      </c>
      <c r="J14" s="215"/>
      <c r="K14" s="90" t="s">
        <v>84</v>
      </c>
      <c r="L14" s="89"/>
      <c r="M14" s="89"/>
      <c r="N14" s="89"/>
      <c r="O14" s="175"/>
      <c r="S14" s="67" t="s">
        <v>729</v>
      </c>
      <c r="T14" s="71">
        <f t="shared" si="0"/>
        <v>0</v>
      </c>
      <c r="V14" s="17" t="s">
        <v>729</v>
      </c>
      <c r="W14" s="63">
        <f t="shared" si="1"/>
        <v>0</v>
      </c>
      <c r="X14" s="64">
        <f t="shared" si="2"/>
        <v>0</v>
      </c>
      <c r="Y14" s="65">
        <f t="shared" si="3"/>
        <v>0</v>
      </c>
    </row>
    <row r="15" spans="1:25" ht="15" customHeight="1" x14ac:dyDescent="0.25">
      <c r="A15" s="88" t="s">
        <v>834</v>
      </c>
      <c r="B15" s="88" t="s">
        <v>835</v>
      </c>
      <c r="C15" s="88">
        <v>2210</v>
      </c>
      <c r="D15" s="88" t="s">
        <v>1003</v>
      </c>
      <c r="E15" s="88" t="s">
        <v>1008</v>
      </c>
      <c r="F15" s="88" t="s">
        <v>1009</v>
      </c>
      <c r="G15" s="88"/>
      <c r="H15" s="88"/>
      <c r="I15" s="305">
        <v>521.04</v>
      </c>
      <c r="J15" s="215"/>
      <c r="K15" s="90" t="s">
        <v>84</v>
      </c>
      <c r="L15" s="89"/>
      <c r="M15" s="89"/>
      <c r="N15" s="89"/>
      <c r="O15" s="175"/>
      <c r="S15" s="68" t="s">
        <v>87</v>
      </c>
      <c r="T15" s="71">
        <f t="shared" si="0"/>
        <v>0</v>
      </c>
      <c r="V15" s="22" t="s">
        <v>87</v>
      </c>
      <c r="W15" s="63">
        <f t="shared" si="1"/>
        <v>0</v>
      </c>
      <c r="X15" s="64">
        <f t="shared" si="2"/>
        <v>0</v>
      </c>
      <c r="Y15" s="65">
        <f t="shared" si="3"/>
        <v>0</v>
      </c>
    </row>
    <row r="16" spans="1:25" ht="15" customHeight="1" x14ac:dyDescent="0.25">
      <c r="A16" s="88" t="s">
        <v>834</v>
      </c>
      <c r="B16" s="88" t="s">
        <v>835</v>
      </c>
      <c r="C16" s="88">
        <v>2210</v>
      </c>
      <c r="D16" s="88" t="s">
        <v>1003</v>
      </c>
      <c r="E16" s="88" t="s">
        <v>1010</v>
      </c>
      <c r="F16" s="88" t="s">
        <v>1011</v>
      </c>
      <c r="G16" s="88"/>
      <c r="H16" s="88"/>
      <c r="I16" s="305">
        <v>220636.69</v>
      </c>
      <c r="J16" s="215"/>
      <c r="K16" s="90" t="s">
        <v>84</v>
      </c>
      <c r="L16" s="89"/>
      <c r="M16" s="89"/>
      <c r="N16" s="89"/>
      <c r="O16" s="175"/>
      <c r="S16" s="69" t="s">
        <v>95</v>
      </c>
      <c r="T16" s="71">
        <f t="shared" si="0"/>
        <v>0</v>
      </c>
      <c r="V16" s="51" t="s">
        <v>95</v>
      </c>
      <c r="W16" s="63">
        <f t="shared" si="1"/>
        <v>0</v>
      </c>
      <c r="X16" s="64">
        <f t="shared" si="2"/>
        <v>0</v>
      </c>
      <c r="Y16" s="65">
        <f t="shared" si="3"/>
        <v>0</v>
      </c>
    </row>
    <row r="17" spans="1:25" ht="15" customHeight="1" x14ac:dyDescent="0.25">
      <c r="A17" s="88" t="s">
        <v>834</v>
      </c>
      <c r="B17" s="88" t="s">
        <v>835</v>
      </c>
      <c r="C17" s="88">
        <v>2210</v>
      </c>
      <c r="D17" s="88" t="s">
        <v>1003</v>
      </c>
      <c r="E17" s="88" t="s">
        <v>1012</v>
      </c>
      <c r="F17" s="88" t="s">
        <v>1013</v>
      </c>
      <c r="G17" s="88"/>
      <c r="H17" s="88"/>
      <c r="I17" s="305">
        <v>170397.77</v>
      </c>
      <c r="J17" s="215"/>
      <c r="K17" s="90" t="s">
        <v>84</v>
      </c>
      <c r="L17" s="89"/>
      <c r="M17" s="89"/>
      <c r="N17" s="89"/>
      <c r="O17" s="175"/>
      <c r="S17" s="70" t="s">
        <v>96</v>
      </c>
      <c r="T17" s="71">
        <f t="shared" si="0"/>
        <v>0</v>
      </c>
      <c r="V17" s="52" t="s">
        <v>96</v>
      </c>
      <c r="W17" s="63">
        <f t="shared" si="1"/>
        <v>0</v>
      </c>
      <c r="X17" s="64">
        <f t="shared" si="2"/>
        <v>0</v>
      </c>
      <c r="Y17" s="65">
        <f t="shared" si="3"/>
        <v>0</v>
      </c>
    </row>
    <row r="18" spans="1:25" ht="15" customHeight="1" x14ac:dyDescent="0.25">
      <c r="A18" s="88" t="s">
        <v>834</v>
      </c>
      <c r="B18" s="88" t="s">
        <v>835</v>
      </c>
      <c r="C18" s="88">
        <v>2210</v>
      </c>
      <c r="D18" s="88" t="s">
        <v>1003</v>
      </c>
      <c r="E18" s="88" t="s">
        <v>1014</v>
      </c>
      <c r="F18" s="88" t="s">
        <v>1015</v>
      </c>
      <c r="G18" s="88"/>
      <c r="H18" s="88"/>
      <c r="I18" s="305">
        <v>342.04</v>
      </c>
      <c r="J18" s="215"/>
      <c r="K18" s="90" t="s">
        <v>84</v>
      </c>
      <c r="L18" s="89"/>
      <c r="M18" s="89"/>
      <c r="N18" s="89"/>
      <c r="O18" s="175"/>
      <c r="S18" s="70" t="s">
        <v>97</v>
      </c>
      <c r="T18" s="71">
        <f t="shared" si="0"/>
        <v>0</v>
      </c>
      <c r="V18" s="52" t="s">
        <v>97</v>
      </c>
      <c r="W18" s="63">
        <f t="shared" si="1"/>
        <v>0</v>
      </c>
      <c r="X18" s="64">
        <f t="shared" si="2"/>
        <v>0</v>
      </c>
      <c r="Y18" s="65">
        <f t="shared" si="3"/>
        <v>0</v>
      </c>
    </row>
    <row r="19" spans="1:25" ht="15" customHeight="1" x14ac:dyDescent="0.25">
      <c r="A19" s="88" t="s">
        <v>834</v>
      </c>
      <c r="B19" s="88" t="s">
        <v>835</v>
      </c>
      <c r="C19" s="88">
        <v>2210</v>
      </c>
      <c r="D19" s="88" t="s">
        <v>1003</v>
      </c>
      <c r="E19" s="88" t="s">
        <v>836</v>
      </c>
      <c r="F19" s="88" t="s">
        <v>837</v>
      </c>
      <c r="G19" s="88"/>
      <c r="H19" s="88"/>
      <c r="I19" s="305">
        <v>14764.56</v>
      </c>
      <c r="J19" s="215"/>
      <c r="K19" s="90" t="s">
        <v>84</v>
      </c>
      <c r="L19" s="89"/>
      <c r="M19" s="89"/>
      <c r="N19" s="89"/>
      <c r="O19" s="175"/>
      <c r="S19" s="70" t="s">
        <v>728</v>
      </c>
      <c r="T19" s="71">
        <f t="shared" si="0"/>
        <v>7868442.4800000004</v>
      </c>
      <c r="V19" s="52" t="s">
        <v>728</v>
      </c>
      <c r="W19" s="63">
        <f t="shared" si="1"/>
        <v>0</v>
      </c>
      <c r="X19" s="64">
        <f t="shared" si="2"/>
        <v>0</v>
      </c>
      <c r="Y19" s="65">
        <f t="shared" si="3"/>
        <v>0</v>
      </c>
    </row>
    <row r="20" spans="1:25" ht="15" customHeight="1" x14ac:dyDescent="0.25">
      <c r="A20" s="88" t="s">
        <v>807</v>
      </c>
      <c r="B20" s="88" t="s">
        <v>808</v>
      </c>
      <c r="C20" s="88">
        <v>2210</v>
      </c>
      <c r="D20" s="88" t="s">
        <v>1003</v>
      </c>
      <c r="E20" s="88" t="s">
        <v>840</v>
      </c>
      <c r="F20" s="88" t="s">
        <v>841</v>
      </c>
      <c r="G20" s="88"/>
      <c r="H20" s="88"/>
      <c r="I20" s="305">
        <v>3762.08</v>
      </c>
      <c r="J20" s="215"/>
      <c r="K20" s="90" t="s">
        <v>85</v>
      </c>
      <c r="L20" s="89"/>
      <c r="M20" s="89"/>
      <c r="N20" s="89"/>
      <c r="O20" s="175"/>
      <c r="S20" s="70" t="s">
        <v>93</v>
      </c>
      <c r="T20" s="71">
        <f t="shared" si="0"/>
        <v>0</v>
      </c>
      <c r="V20" s="52" t="s">
        <v>93</v>
      </c>
      <c r="W20" s="63">
        <f t="shared" si="1"/>
        <v>0</v>
      </c>
      <c r="X20" s="64">
        <f t="shared" si="2"/>
        <v>0</v>
      </c>
      <c r="Y20" s="65">
        <f t="shared" si="3"/>
        <v>0</v>
      </c>
    </row>
    <row r="21" spans="1:25" ht="15" customHeight="1" x14ac:dyDescent="0.25">
      <c r="A21" s="88" t="s">
        <v>834</v>
      </c>
      <c r="B21" s="88" t="s">
        <v>835</v>
      </c>
      <c r="C21" s="88">
        <v>2210</v>
      </c>
      <c r="D21" s="88" t="s">
        <v>1003</v>
      </c>
      <c r="E21" s="88" t="s">
        <v>840</v>
      </c>
      <c r="F21" s="88" t="s">
        <v>841</v>
      </c>
      <c r="G21" s="88"/>
      <c r="H21" s="88"/>
      <c r="I21" s="305">
        <v>445873.5</v>
      </c>
      <c r="J21" s="215"/>
      <c r="K21" s="90" t="s">
        <v>85</v>
      </c>
      <c r="L21" s="89"/>
      <c r="M21" s="89"/>
      <c r="N21" s="89"/>
      <c r="O21" s="175"/>
      <c r="S21" s="70" t="s">
        <v>94</v>
      </c>
      <c r="T21" s="71">
        <f t="shared" si="0"/>
        <v>-7600</v>
      </c>
      <c r="V21" s="52" t="s">
        <v>94</v>
      </c>
      <c r="W21" s="63">
        <f t="shared" si="1"/>
        <v>0</v>
      </c>
      <c r="X21" s="64">
        <f t="shared" si="2"/>
        <v>0</v>
      </c>
      <c r="Y21" s="65">
        <f t="shared" si="3"/>
        <v>0</v>
      </c>
    </row>
    <row r="22" spans="1:25" ht="15" customHeight="1" x14ac:dyDescent="0.25">
      <c r="A22" s="88" t="s">
        <v>1004</v>
      </c>
      <c r="B22" s="88" t="s">
        <v>1005</v>
      </c>
      <c r="C22" s="88">
        <v>2210</v>
      </c>
      <c r="D22" s="88" t="s">
        <v>1003</v>
      </c>
      <c r="E22" s="88" t="s">
        <v>840</v>
      </c>
      <c r="F22" s="88" t="s">
        <v>841</v>
      </c>
      <c r="G22" s="88"/>
      <c r="H22" s="88"/>
      <c r="I22" s="305">
        <v>185720.24</v>
      </c>
      <c r="J22" s="215"/>
      <c r="K22" s="90" t="s">
        <v>85</v>
      </c>
      <c r="L22" s="89"/>
      <c r="M22" s="89"/>
      <c r="N22" s="89"/>
      <c r="O22" s="175"/>
      <c r="S22" s="70" t="s">
        <v>43</v>
      </c>
      <c r="T22" s="71">
        <f t="shared" si="0"/>
        <v>0</v>
      </c>
      <c r="V22" s="52" t="s">
        <v>43</v>
      </c>
      <c r="W22" s="63">
        <f t="shared" si="1"/>
        <v>0</v>
      </c>
      <c r="X22" s="64">
        <f t="shared" si="2"/>
        <v>0</v>
      </c>
      <c r="Y22" s="65">
        <f t="shared" si="3"/>
        <v>0</v>
      </c>
    </row>
    <row r="23" spans="1:25" ht="15" customHeight="1" x14ac:dyDescent="0.25">
      <c r="A23" s="88" t="s">
        <v>842</v>
      </c>
      <c r="B23" s="88" t="s">
        <v>843</v>
      </c>
      <c r="C23" s="88">
        <v>2210</v>
      </c>
      <c r="D23" s="88" t="s">
        <v>1003</v>
      </c>
      <c r="E23" s="88" t="s">
        <v>844</v>
      </c>
      <c r="F23" s="88" t="s">
        <v>845</v>
      </c>
      <c r="G23" s="88"/>
      <c r="H23" s="88"/>
      <c r="I23" s="305">
        <v>1271</v>
      </c>
      <c r="J23" s="215"/>
      <c r="K23" s="90" t="s">
        <v>85</v>
      </c>
      <c r="L23" s="89"/>
      <c r="M23" s="89"/>
      <c r="N23" s="89"/>
      <c r="O23" s="175"/>
      <c r="S23" s="70"/>
      <c r="T23" s="71">
        <f t="shared" si="0"/>
        <v>0</v>
      </c>
      <c r="V23" s="52"/>
      <c r="W23" s="63">
        <f t="shared" si="1"/>
        <v>0</v>
      </c>
      <c r="X23" s="64">
        <f t="shared" si="2"/>
        <v>0</v>
      </c>
      <c r="Y23" s="65">
        <f t="shared" si="3"/>
        <v>0</v>
      </c>
    </row>
    <row r="24" spans="1:25" ht="15" customHeight="1" x14ac:dyDescent="0.25">
      <c r="A24" s="88" t="s">
        <v>807</v>
      </c>
      <c r="B24" s="88" t="s">
        <v>808</v>
      </c>
      <c r="C24" s="88">
        <v>2210</v>
      </c>
      <c r="D24" s="88" t="s">
        <v>1003</v>
      </c>
      <c r="E24" s="88" t="s">
        <v>846</v>
      </c>
      <c r="F24" s="88" t="s">
        <v>847</v>
      </c>
      <c r="G24" s="88"/>
      <c r="H24" s="88"/>
      <c r="I24" s="305">
        <v>66.17</v>
      </c>
      <c r="J24" s="215"/>
      <c r="K24" s="90" t="s">
        <v>88</v>
      </c>
      <c r="L24" s="89"/>
      <c r="M24" s="89"/>
      <c r="N24" s="89"/>
      <c r="O24" s="175"/>
      <c r="S24" s="70"/>
      <c r="T24" s="71">
        <f t="shared" si="0"/>
        <v>0</v>
      </c>
      <c r="V24" s="52"/>
      <c r="W24" s="63">
        <f t="shared" si="1"/>
        <v>0</v>
      </c>
      <c r="X24" s="64">
        <f t="shared" si="2"/>
        <v>0</v>
      </c>
      <c r="Y24" s="65">
        <f t="shared" si="3"/>
        <v>0</v>
      </c>
    </row>
    <row r="25" spans="1:25" ht="15" customHeight="1" x14ac:dyDescent="0.25">
      <c r="A25" s="88" t="s">
        <v>834</v>
      </c>
      <c r="B25" s="88" t="s">
        <v>835</v>
      </c>
      <c r="C25" s="88">
        <v>2210</v>
      </c>
      <c r="D25" s="88" t="s">
        <v>1003</v>
      </c>
      <c r="E25" s="88" t="s">
        <v>846</v>
      </c>
      <c r="F25" s="88" t="s">
        <v>847</v>
      </c>
      <c r="G25" s="88"/>
      <c r="H25" s="88"/>
      <c r="I25" s="305">
        <v>5223.3100000000004</v>
      </c>
      <c r="J25" s="215"/>
      <c r="K25" s="90" t="s">
        <v>88</v>
      </c>
      <c r="L25" s="89"/>
      <c r="M25" s="89"/>
      <c r="N25" s="89"/>
      <c r="O25" s="175"/>
      <c r="S25" s="70"/>
      <c r="T25" s="71">
        <f t="shared" si="0"/>
        <v>0</v>
      </c>
      <c r="V25" s="52"/>
      <c r="W25" s="63">
        <f t="shared" si="1"/>
        <v>0</v>
      </c>
      <c r="X25" s="64">
        <f t="shared" si="2"/>
        <v>0</v>
      </c>
      <c r="Y25" s="65">
        <f t="shared" si="3"/>
        <v>0</v>
      </c>
    </row>
    <row r="26" spans="1:25" ht="15" customHeight="1" x14ac:dyDescent="0.25">
      <c r="A26" s="88" t="s">
        <v>1004</v>
      </c>
      <c r="B26" s="88" t="s">
        <v>1005</v>
      </c>
      <c r="C26" s="88">
        <v>2210</v>
      </c>
      <c r="D26" s="88" t="s">
        <v>1003</v>
      </c>
      <c r="E26" s="88" t="s">
        <v>846</v>
      </c>
      <c r="F26" s="88" t="s">
        <v>847</v>
      </c>
      <c r="G26" s="88"/>
      <c r="H26" s="88"/>
      <c r="I26" s="305">
        <v>1031.17</v>
      </c>
      <c r="J26" s="215"/>
      <c r="K26" s="90" t="s">
        <v>88</v>
      </c>
      <c r="L26" s="89"/>
      <c r="M26" s="89"/>
      <c r="N26" s="89"/>
      <c r="O26" s="175"/>
      <c r="S26" s="70"/>
      <c r="T26" s="71">
        <f t="shared" si="0"/>
        <v>0</v>
      </c>
      <c r="V26" s="52"/>
      <c r="W26" s="63">
        <f t="shared" si="1"/>
        <v>0</v>
      </c>
      <c r="X26" s="64">
        <f t="shared" si="2"/>
        <v>0</v>
      </c>
      <c r="Y26" s="65">
        <f t="shared" si="3"/>
        <v>0</v>
      </c>
    </row>
    <row r="27" spans="1:25" ht="15" customHeight="1" x14ac:dyDescent="0.25">
      <c r="A27" s="88" t="s">
        <v>842</v>
      </c>
      <c r="B27" s="88" t="s">
        <v>843</v>
      </c>
      <c r="C27" s="88">
        <v>2210</v>
      </c>
      <c r="D27" s="88" t="s">
        <v>1003</v>
      </c>
      <c r="E27" s="88" t="s">
        <v>848</v>
      </c>
      <c r="F27" s="88" t="s">
        <v>849</v>
      </c>
      <c r="G27" s="88"/>
      <c r="H27" s="88"/>
      <c r="I27" s="305">
        <v>584736</v>
      </c>
      <c r="J27" s="215"/>
      <c r="K27" s="90" t="s">
        <v>85</v>
      </c>
      <c r="L27" s="89"/>
      <c r="M27" s="89"/>
      <c r="N27" s="89"/>
      <c r="O27" s="175"/>
      <c r="S27" s="70"/>
      <c r="T27" s="198">
        <f t="shared" si="0"/>
        <v>0</v>
      </c>
      <c r="V27" s="52"/>
      <c r="W27" s="63">
        <f t="shared" si="1"/>
        <v>0</v>
      </c>
      <c r="X27" s="64">
        <f t="shared" si="2"/>
        <v>0</v>
      </c>
      <c r="Y27" s="65">
        <f t="shared" si="3"/>
        <v>0</v>
      </c>
    </row>
    <row r="28" spans="1:25" ht="15" customHeight="1" x14ac:dyDescent="0.25">
      <c r="A28" s="88" t="s">
        <v>807</v>
      </c>
      <c r="B28" s="88" t="s">
        <v>808</v>
      </c>
      <c r="C28" s="88">
        <v>2210</v>
      </c>
      <c r="D28" s="88" t="s">
        <v>1003</v>
      </c>
      <c r="E28" s="88" t="s">
        <v>850</v>
      </c>
      <c r="F28" s="88" t="s">
        <v>116</v>
      </c>
      <c r="G28" s="88"/>
      <c r="H28" s="88"/>
      <c r="I28" s="305">
        <v>5743.75</v>
      </c>
      <c r="J28" s="215"/>
      <c r="K28" s="90" t="s">
        <v>86</v>
      </c>
      <c r="L28" s="89"/>
      <c r="M28" s="89"/>
      <c r="N28" s="89"/>
      <c r="O28" s="175"/>
    </row>
    <row r="29" spans="1:25" ht="15" customHeight="1" x14ac:dyDescent="0.25">
      <c r="A29" s="88" t="s">
        <v>834</v>
      </c>
      <c r="B29" s="88" t="s">
        <v>835</v>
      </c>
      <c r="C29" s="88">
        <v>2210</v>
      </c>
      <c r="D29" s="88" t="s">
        <v>1003</v>
      </c>
      <c r="E29" s="88" t="s">
        <v>850</v>
      </c>
      <c r="F29" s="88" t="s">
        <v>116</v>
      </c>
      <c r="G29" s="88"/>
      <c r="H29" s="88"/>
      <c r="I29" s="305">
        <v>493477.13</v>
      </c>
      <c r="J29" s="215"/>
      <c r="K29" s="90" t="s">
        <v>86</v>
      </c>
      <c r="L29" s="89"/>
      <c r="M29" s="89"/>
      <c r="N29" s="89"/>
      <c r="O29" s="175"/>
      <c r="S29" s="184" t="s">
        <v>782</v>
      </c>
      <c r="T29" s="185" cm="1">
        <f t="array" ref="T29">SUMPRODUCT(ABS(J4:J20000))</f>
        <v>0</v>
      </c>
    </row>
    <row r="30" spans="1:25" ht="15" customHeight="1" x14ac:dyDescent="0.25">
      <c r="A30" s="88" t="s">
        <v>1004</v>
      </c>
      <c r="B30" s="88" t="s">
        <v>1005</v>
      </c>
      <c r="C30" s="88">
        <v>2210</v>
      </c>
      <c r="D30" s="88" t="s">
        <v>1003</v>
      </c>
      <c r="E30" s="88" t="s">
        <v>850</v>
      </c>
      <c r="F30" s="88" t="s">
        <v>116</v>
      </c>
      <c r="G30" s="88"/>
      <c r="H30" s="88"/>
      <c r="I30" s="305">
        <v>222416.41</v>
      </c>
      <c r="J30" s="215"/>
      <c r="K30" s="90" t="s">
        <v>86</v>
      </c>
      <c r="L30" s="89"/>
      <c r="M30" s="89"/>
      <c r="N30" s="89"/>
      <c r="O30" s="175"/>
      <c r="S30" s="186" t="s">
        <v>781</v>
      </c>
      <c r="T30" s="187">
        <f>SUMIFS($I$4:$I$50000,$I$4:$I$50000,"&lt;&gt;",$K$4:$K$50000,"")</f>
        <v>0</v>
      </c>
    </row>
    <row r="31" spans="1:25" ht="15" customHeight="1" x14ac:dyDescent="0.25">
      <c r="A31" s="88" t="s">
        <v>842</v>
      </c>
      <c r="B31" s="88" t="s">
        <v>843</v>
      </c>
      <c r="C31" s="88">
        <v>2210</v>
      </c>
      <c r="D31" s="88" t="s">
        <v>1003</v>
      </c>
      <c r="E31" s="88" t="s">
        <v>851</v>
      </c>
      <c r="F31" s="88" t="s">
        <v>852</v>
      </c>
      <c r="G31" s="88"/>
      <c r="H31" s="88"/>
      <c r="I31" s="305">
        <v>82448</v>
      </c>
      <c r="J31" s="215"/>
      <c r="K31" s="90" t="s">
        <v>86</v>
      </c>
      <c r="L31" s="89"/>
      <c r="M31" s="89"/>
      <c r="N31" s="89"/>
      <c r="O31" s="175"/>
    </row>
    <row r="32" spans="1:25" ht="15" customHeight="1" x14ac:dyDescent="0.25">
      <c r="A32" s="88" t="s">
        <v>834</v>
      </c>
      <c r="B32" s="88" t="s">
        <v>835</v>
      </c>
      <c r="C32" s="88">
        <v>2210</v>
      </c>
      <c r="D32" s="88" t="s">
        <v>1003</v>
      </c>
      <c r="E32" s="88" t="s">
        <v>861</v>
      </c>
      <c r="F32" s="88" t="s">
        <v>862</v>
      </c>
      <c r="G32" s="88"/>
      <c r="H32" s="88"/>
      <c r="I32" s="305">
        <v>1020.34</v>
      </c>
      <c r="J32" s="215"/>
      <c r="K32" s="90" t="s">
        <v>88</v>
      </c>
      <c r="L32" s="89"/>
      <c r="M32" s="89"/>
      <c r="N32" s="89"/>
      <c r="O32" s="175"/>
      <c r="S32" s="183"/>
      <c r="T32" s="183"/>
      <c r="U32" s="179"/>
    </row>
    <row r="33" spans="1:19" ht="15" customHeight="1" x14ac:dyDescent="0.25">
      <c r="A33" s="88" t="s">
        <v>917</v>
      </c>
      <c r="B33" s="88" t="s">
        <v>918</v>
      </c>
      <c r="C33" s="88">
        <v>2210</v>
      </c>
      <c r="D33" s="88" t="s">
        <v>1003</v>
      </c>
      <c r="E33" s="88" t="s">
        <v>865</v>
      </c>
      <c r="F33" s="88" t="s">
        <v>866</v>
      </c>
      <c r="G33" s="88"/>
      <c r="H33" s="88"/>
      <c r="I33" s="305">
        <v>1850</v>
      </c>
      <c r="J33" s="215"/>
      <c r="K33" s="90" t="s">
        <v>88</v>
      </c>
      <c r="L33" s="89"/>
      <c r="M33" s="89"/>
      <c r="N33" s="89"/>
      <c r="O33" s="175"/>
      <c r="S33" s="182" t="s">
        <v>98</v>
      </c>
    </row>
    <row r="34" spans="1:19" ht="15" customHeight="1" x14ac:dyDescent="0.25">
      <c r="A34" s="88" t="s">
        <v>1004</v>
      </c>
      <c r="B34" s="88" t="s">
        <v>1005</v>
      </c>
      <c r="C34" s="88">
        <v>2210</v>
      </c>
      <c r="D34" s="88" t="s">
        <v>1003</v>
      </c>
      <c r="E34" s="88" t="s">
        <v>865</v>
      </c>
      <c r="F34" s="88" t="s">
        <v>866</v>
      </c>
      <c r="G34" s="88"/>
      <c r="H34" s="88"/>
      <c r="I34" s="305">
        <v>1618.02</v>
      </c>
      <c r="J34" s="215"/>
      <c r="K34" s="90" t="s">
        <v>88</v>
      </c>
      <c r="L34" s="89"/>
      <c r="M34" s="89"/>
      <c r="N34" s="89"/>
      <c r="O34" s="175"/>
    </row>
    <row r="35" spans="1:19" ht="15" customHeight="1" x14ac:dyDescent="0.25">
      <c r="A35" s="88" t="s">
        <v>809</v>
      </c>
      <c r="B35" s="88" t="s">
        <v>810</v>
      </c>
      <c r="C35" s="88">
        <v>2210</v>
      </c>
      <c r="D35" s="88" t="s">
        <v>1003</v>
      </c>
      <c r="E35" s="88" t="s">
        <v>869</v>
      </c>
      <c r="F35" s="88" t="s">
        <v>870</v>
      </c>
      <c r="G35" s="88"/>
      <c r="H35" s="88"/>
      <c r="I35" s="305">
        <v>3246.76</v>
      </c>
      <c r="J35" s="215"/>
      <c r="K35" s="90" t="s">
        <v>88</v>
      </c>
      <c r="L35" s="89"/>
      <c r="M35" s="89"/>
      <c r="N35" s="89"/>
      <c r="O35" s="175"/>
    </row>
    <row r="36" spans="1:19" ht="15" customHeight="1" x14ac:dyDescent="0.25">
      <c r="A36" s="88" t="s">
        <v>811</v>
      </c>
      <c r="B36" s="88" t="s">
        <v>812</v>
      </c>
      <c r="C36" s="88">
        <v>2210</v>
      </c>
      <c r="D36" s="88" t="s">
        <v>1003</v>
      </c>
      <c r="E36" s="88" t="s">
        <v>869</v>
      </c>
      <c r="F36" s="88" t="s">
        <v>870</v>
      </c>
      <c r="G36" s="88"/>
      <c r="H36" s="88"/>
      <c r="I36" s="305">
        <v>910.99</v>
      </c>
      <c r="J36" s="215"/>
      <c r="K36" s="90" t="s">
        <v>88</v>
      </c>
      <c r="L36" s="89"/>
      <c r="M36" s="89"/>
      <c r="N36" s="89"/>
      <c r="O36" s="175"/>
    </row>
    <row r="37" spans="1:19" ht="15" customHeight="1" x14ac:dyDescent="0.25">
      <c r="A37" s="88" t="s">
        <v>834</v>
      </c>
      <c r="B37" s="88" t="s">
        <v>835</v>
      </c>
      <c r="C37" s="88">
        <v>2210</v>
      </c>
      <c r="D37" s="88" t="s">
        <v>1003</v>
      </c>
      <c r="E37" s="88" t="s">
        <v>869</v>
      </c>
      <c r="F37" s="88" t="s">
        <v>870</v>
      </c>
      <c r="G37" s="88"/>
      <c r="H37" s="88"/>
      <c r="I37" s="305">
        <v>262572.34999999998</v>
      </c>
      <c r="J37" s="215"/>
      <c r="K37" s="90" t="s">
        <v>88</v>
      </c>
      <c r="L37" s="89"/>
      <c r="M37" s="89"/>
      <c r="N37" s="89"/>
      <c r="O37" s="175"/>
    </row>
    <row r="38" spans="1:19" ht="15" customHeight="1" x14ac:dyDescent="0.25">
      <c r="A38" s="88" t="s">
        <v>834</v>
      </c>
      <c r="B38" s="88" t="s">
        <v>835</v>
      </c>
      <c r="C38" s="88">
        <v>2210</v>
      </c>
      <c r="D38" s="88" t="s">
        <v>1003</v>
      </c>
      <c r="E38" s="88" t="s">
        <v>871</v>
      </c>
      <c r="F38" s="88" t="s">
        <v>872</v>
      </c>
      <c r="G38" s="88"/>
      <c r="H38" s="88"/>
      <c r="I38" s="305">
        <v>2220</v>
      </c>
      <c r="J38" s="215"/>
      <c r="K38" s="36" t="s">
        <v>88</v>
      </c>
      <c r="L38" s="89"/>
      <c r="M38" s="89"/>
      <c r="N38" s="89"/>
      <c r="O38" s="175"/>
    </row>
    <row r="39" spans="1:19" ht="15" customHeight="1" x14ac:dyDescent="0.25">
      <c r="A39" s="88" t="s">
        <v>834</v>
      </c>
      <c r="B39" s="88" t="s">
        <v>835</v>
      </c>
      <c r="C39" s="88">
        <v>2210</v>
      </c>
      <c r="D39" s="88" t="s">
        <v>1003</v>
      </c>
      <c r="E39" s="88" t="s">
        <v>1016</v>
      </c>
      <c r="F39" s="88" t="s">
        <v>1017</v>
      </c>
      <c r="G39" s="88"/>
      <c r="H39" s="88"/>
      <c r="I39" s="305">
        <v>98.44</v>
      </c>
      <c r="J39" s="215"/>
      <c r="K39" s="36" t="s">
        <v>88</v>
      </c>
      <c r="L39" s="89"/>
      <c r="M39" s="89"/>
      <c r="N39" s="89"/>
      <c r="O39" s="175"/>
    </row>
    <row r="40" spans="1:19" ht="15" customHeight="1" x14ac:dyDescent="0.25">
      <c r="A40" s="88" t="s">
        <v>834</v>
      </c>
      <c r="B40" s="88" t="s">
        <v>835</v>
      </c>
      <c r="C40" s="88">
        <v>2210</v>
      </c>
      <c r="D40" s="88" t="s">
        <v>1003</v>
      </c>
      <c r="E40" s="88" t="s">
        <v>873</v>
      </c>
      <c r="F40" s="88" t="s">
        <v>874</v>
      </c>
      <c r="G40" s="88"/>
      <c r="H40" s="88"/>
      <c r="I40" s="305">
        <v>1009.4</v>
      </c>
      <c r="J40" s="215"/>
      <c r="K40" s="36" t="s">
        <v>88</v>
      </c>
      <c r="L40" s="89"/>
      <c r="M40" s="89"/>
      <c r="N40" s="89"/>
      <c r="O40" s="175"/>
    </row>
    <row r="41" spans="1:19" ht="15" customHeight="1" x14ac:dyDescent="0.25">
      <c r="A41" s="88" t="s">
        <v>1004</v>
      </c>
      <c r="B41" s="88" t="s">
        <v>1005</v>
      </c>
      <c r="C41" s="88">
        <v>2210</v>
      </c>
      <c r="D41" s="88" t="s">
        <v>1003</v>
      </c>
      <c r="E41" s="88" t="s">
        <v>873</v>
      </c>
      <c r="F41" s="88" t="s">
        <v>874</v>
      </c>
      <c r="G41" s="88"/>
      <c r="H41" s="88"/>
      <c r="I41" s="305">
        <v>720.82</v>
      </c>
      <c r="J41" s="215"/>
      <c r="K41" s="90" t="s">
        <v>88</v>
      </c>
      <c r="L41" s="89"/>
      <c r="M41" s="89"/>
      <c r="N41" s="89"/>
      <c r="O41" s="175"/>
    </row>
    <row r="42" spans="1:19" ht="15" customHeight="1" x14ac:dyDescent="0.25">
      <c r="A42" s="88" t="s">
        <v>803</v>
      </c>
      <c r="B42" s="88" t="s">
        <v>804</v>
      </c>
      <c r="C42" s="88">
        <v>2210</v>
      </c>
      <c r="D42" s="88" t="s">
        <v>1003</v>
      </c>
      <c r="E42" s="88" t="s">
        <v>1018</v>
      </c>
      <c r="F42" s="88" t="s">
        <v>1019</v>
      </c>
      <c r="G42" s="88"/>
      <c r="H42" s="88"/>
      <c r="I42" s="305">
        <v>2156</v>
      </c>
      <c r="J42" s="215"/>
      <c r="K42" s="90" t="s">
        <v>88</v>
      </c>
      <c r="L42" s="89"/>
      <c r="M42" s="89"/>
      <c r="N42" s="89"/>
      <c r="O42" s="175"/>
    </row>
    <row r="43" spans="1:19" ht="15" customHeight="1" x14ac:dyDescent="0.25">
      <c r="A43" s="88" t="s">
        <v>834</v>
      </c>
      <c r="B43" s="88" t="s">
        <v>835</v>
      </c>
      <c r="C43" s="88">
        <v>2210</v>
      </c>
      <c r="D43" s="88" t="s">
        <v>1003</v>
      </c>
      <c r="E43" s="88" t="s">
        <v>885</v>
      </c>
      <c r="F43" s="88" t="s">
        <v>886</v>
      </c>
      <c r="G43" s="88"/>
      <c r="H43" s="88"/>
      <c r="I43" s="305">
        <v>5686.45</v>
      </c>
      <c r="J43" s="215"/>
      <c r="K43" s="90" t="s">
        <v>88</v>
      </c>
      <c r="L43" s="89"/>
      <c r="M43" s="89"/>
      <c r="N43" s="89"/>
      <c r="O43" s="175"/>
    </row>
    <row r="44" spans="1:19" ht="15" customHeight="1" x14ac:dyDescent="0.25">
      <c r="A44" s="88" t="s">
        <v>834</v>
      </c>
      <c r="B44" s="88" t="s">
        <v>835</v>
      </c>
      <c r="C44" s="88">
        <v>2210</v>
      </c>
      <c r="D44" s="88" t="s">
        <v>1003</v>
      </c>
      <c r="E44" s="88" t="s">
        <v>887</v>
      </c>
      <c r="F44" s="88" t="s">
        <v>888</v>
      </c>
      <c r="G44" s="88"/>
      <c r="H44" s="88"/>
      <c r="I44" s="305">
        <v>4200</v>
      </c>
      <c r="J44" s="215"/>
      <c r="K44" s="90" t="s">
        <v>88</v>
      </c>
      <c r="L44" s="89"/>
      <c r="M44" s="89"/>
      <c r="N44" s="89"/>
      <c r="O44" s="175"/>
    </row>
    <row r="45" spans="1:19" ht="15" customHeight="1" x14ac:dyDescent="0.25">
      <c r="A45" s="88" t="s">
        <v>807</v>
      </c>
      <c r="B45" s="88" t="s">
        <v>808</v>
      </c>
      <c r="C45" s="88">
        <v>2210</v>
      </c>
      <c r="D45" s="88" t="s">
        <v>1003</v>
      </c>
      <c r="E45" s="88" t="s">
        <v>897</v>
      </c>
      <c r="F45" s="88" t="s">
        <v>898</v>
      </c>
      <c r="G45" s="88"/>
      <c r="H45" s="88"/>
      <c r="I45" s="305">
        <v>909.52</v>
      </c>
      <c r="J45" s="215"/>
      <c r="K45" s="90" t="s">
        <v>88</v>
      </c>
      <c r="L45" s="89"/>
      <c r="M45" s="89"/>
      <c r="N45" s="89"/>
      <c r="O45" s="175"/>
    </row>
    <row r="46" spans="1:19" ht="15" customHeight="1" x14ac:dyDescent="0.25">
      <c r="A46" s="88" t="s">
        <v>803</v>
      </c>
      <c r="B46" s="88" t="s">
        <v>804</v>
      </c>
      <c r="C46" s="88">
        <v>2210</v>
      </c>
      <c r="D46" s="88" t="s">
        <v>1003</v>
      </c>
      <c r="E46" s="88" t="s">
        <v>899</v>
      </c>
      <c r="F46" s="88" t="s">
        <v>900</v>
      </c>
      <c r="G46" s="88"/>
      <c r="H46" s="88"/>
      <c r="I46" s="305">
        <v>154909.70000000001</v>
      </c>
      <c r="J46" s="215"/>
      <c r="K46" s="90" t="s">
        <v>88</v>
      </c>
      <c r="L46" s="89"/>
      <c r="M46" s="89"/>
      <c r="N46" s="89"/>
      <c r="O46" s="175"/>
    </row>
    <row r="47" spans="1:19" ht="15" customHeight="1" x14ac:dyDescent="0.25">
      <c r="A47" s="88" t="s">
        <v>805</v>
      </c>
      <c r="B47" s="88" t="s">
        <v>806</v>
      </c>
      <c r="C47" s="88">
        <v>2210</v>
      </c>
      <c r="D47" s="88" t="s">
        <v>1003</v>
      </c>
      <c r="E47" s="88" t="s">
        <v>899</v>
      </c>
      <c r="F47" s="88" t="s">
        <v>900</v>
      </c>
      <c r="G47" s="88"/>
      <c r="H47" s="88"/>
      <c r="I47" s="305">
        <v>61242.29</v>
      </c>
      <c r="J47" s="215"/>
      <c r="K47" s="90" t="s">
        <v>88</v>
      </c>
      <c r="L47" s="89"/>
      <c r="M47" s="89"/>
      <c r="N47" s="89"/>
      <c r="O47" s="175"/>
    </row>
    <row r="48" spans="1:19" ht="15" customHeight="1" x14ac:dyDescent="0.25">
      <c r="A48" s="88" t="s">
        <v>807</v>
      </c>
      <c r="B48" s="88" t="s">
        <v>808</v>
      </c>
      <c r="C48" s="88">
        <v>2210</v>
      </c>
      <c r="D48" s="88" t="s">
        <v>1003</v>
      </c>
      <c r="E48" s="88" t="s">
        <v>899</v>
      </c>
      <c r="F48" s="88" t="s">
        <v>900</v>
      </c>
      <c r="G48" s="88"/>
      <c r="H48" s="88"/>
      <c r="I48" s="305">
        <v>152892.51</v>
      </c>
      <c r="J48" s="215"/>
      <c r="K48" s="90" t="s">
        <v>88</v>
      </c>
      <c r="L48" s="89"/>
      <c r="M48" s="89"/>
      <c r="N48" s="89"/>
      <c r="O48" s="175"/>
    </row>
    <row r="49" spans="1:15" ht="15" customHeight="1" x14ac:dyDescent="0.25">
      <c r="A49" s="88" t="s">
        <v>809</v>
      </c>
      <c r="B49" s="88" t="s">
        <v>810</v>
      </c>
      <c r="C49" s="88">
        <v>2210</v>
      </c>
      <c r="D49" s="88" t="s">
        <v>1003</v>
      </c>
      <c r="E49" s="88" t="s">
        <v>899</v>
      </c>
      <c r="F49" s="88" t="s">
        <v>900</v>
      </c>
      <c r="G49" s="88"/>
      <c r="H49" s="88"/>
      <c r="I49" s="305">
        <v>124253.34</v>
      </c>
      <c r="J49" s="215"/>
      <c r="K49" s="90" t="s">
        <v>88</v>
      </c>
      <c r="L49" s="89"/>
      <c r="M49" s="89"/>
      <c r="N49" s="89"/>
      <c r="O49" s="175"/>
    </row>
    <row r="50" spans="1:15" ht="15" customHeight="1" x14ac:dyDescent="0.25">
      <c r="A50" s="88" t="s">
        <v>811</v>
      </c>
      <c r="B50" s="88" t="s">
        <v>812</v>
      </c>
      <c r="C50" s="88">
        <v>2210</v>
      </c>
      <c r="D50" s="88" t="s">
        <v>1003</v>
      </c>
      <c r="E50" s="88" t="s">
        <v>899</v>
      </c>
      <c r="F50" s="88" t="s">
        <v>900</v>
      </c>
      <c r="G50" s="88"/>
      <c r="H50" s="88"/>
      <c r="I50" s="305">
        <v>169586.81</v>
      </c>
      <c r="J50" s="215"/>
      <c r="K50" s="90" t="s">
        <v>88</v>
      </c>
      <c r="L50" s="89"/>
      <c r="M50" s="89"/>
      <c r="N50" s="89"/>
      <c r="O50" s="175"/>
    </row>
    <row r="51" spans="1:15" ht="15" customHeight="1" x14ac:dyDescent="0.25">
      <c r="A51" s="88" t="s">
        <v>807</v>
      </c>
      <c r="B51" s="88" t="s">
        <v>808</v>
      </c>
      <c r="C51" s="88">
        <v>2210</v>
      </c>
      <c r="D51" s="88" t="s">
        <v>1003</v>
      </c>
      <c r="E51" s="88" t="s">
        <v>1020</v>
      </c>
      <c r="F51" s="88" t="s">
        <v>1021</v>
      </c>
      <c r="G51" s="88"/>
      <c r="H51" s="88"/>
      <c r="I51" s="305">
        <v>17400</v>
      </c>
      <c r="J51" s="215"/>
      <c r="K51" s="90" t="s">
        <v>88</v>
      </c>
      <c r="L51" s="89"/>
      <c r="M51" s="89"/>
      <c r="N51" s="89"/>
      <c r="O51" s="175"/>
    </row>
    <row r="52" spans="1:15" ht="15" customHeight="1" x14ac:dyDescent="0.25">
      <c r="A52" s="88" t="s">
        <v>809</v>
      </c>
      <c r="B52" s="88" t="s">
        <v>810</v>
      </c>
      <c r="C52" s="88">
        <v>2210</v>
      </c>
      <c r="D52" s="88" t="s">
        <v>1003</v>
      </c>
      <c r="E52" s="88" t="s">
        <v>1020</v>
      </c>
      <c r="F52" s="88" t="s">
        <v>1021</v>
      </c>
      <c r="G52" s="88"/>
      <c r="H52" s="88"/>
      <c r="I52" s="305">
        <v>1344</v>
      </c>
      <c r="J52" s="215"/>
      <c r="K52" s="90" t="s">
        <v>88</v>
      </c>
      <c r="L52" s="89"/>
      <c r="M52" s="89"/>
      <c r="N52" s="89"/>
      <c r="O52" s="175"/>
    </row>
    <row r="53" spans="1:15" ht="15" customHeight="1" x14ac:dyDescent="0.25">
      <c r="A53" s="88" t="s">
        <v>803</v>
      </c>
      <c r="B53" s="88" t="s">
        <v>804</v>
      </c>
      <c r="C53" s="88">
        <v>2210</v>
      </c>
      <c r="D53" s="88" t="s">
        <v>1003</v>
      </c>
      <c r="E53" s="88" t="s">
        <v>901</v>
      </c>
      <c r="F53" s="88" t="s">
        <v>902</v>
      </c>
      <c r="G53" s="88"/>
      <c r="H53" s="88"/>
      <c r="I53" s="305">
        <v>6472.8</v>
      </c>
      <c r="J53" s="215"/>
      <c r="K53" s="90" t="s">
        <v>88</v>
      </c>
      <c r="L53" s="89"/>
      <c r="M53" s="89"/>
      <c r="N53" s="89"/>
      <c r="O53" s="175"/>
    </row>
    <row r="54" spans="1:15" ht="15" customHeight="1" x14ac:dyDescent="0.25">
      <c r="A54" s="88" t="s">
        <v>805</v>
      </c>
      <c r="B54" s="88" t="s">
        <v>806</v>
      </c>
      <c r="C54" s="88">
        <v>2210</v>
      </c>
      <c r="D54" s="88" t="s">
        <v>1003</v>
      </c>
      <c r="E54" s="88" t="s">
        <v>901</v>
      </c>
      <c r="F54" s="88" t="s">
        <v>902</v>
      </c>
      <c r="G54" s="88"/>
      <c r="H54" s="88"/>
      <c r="I54" s="305">
        <v>1505.6</v>
      </c>
      <c r="J54" s="215"/>
      <c r="K54" s="90" t="s">
        <v>88</v>
      </c>
      <c r="L54" s="89"/>
      <c r="M54" s="89"/>
      <c r="N54" s="89"/>
      <c r="O54" s="175"/>
    </row>
    <row r="55" spans="1:15" ht="15" customHeight="1" x14ac:dyDescent="0.25">
      <c r="A55" s="88" t="s">
        <v>807</v>
      </c>
      <c r="B55" s="88" t="s">
        <v>808</v>
      </c>
      <c r="C55" s="88">
        <v>2210</v>
      </c>
      <c r="D55" s="88" t="s">
        <v>1003</v>
      </c>
      <c r="E55" s="88" t="s">
        <v>901</v>
      </c>
      <c r="F55" s="88" t="s">
        <v>902</v>
      </c>
      <c r="G55" s="88"/>
      <c r="H55" s="88"/>
      <c r="I55" s="305">
        <v>2768.8</v>
      </c>
      <c r="J55" s="215"/>
      <c r="K55" s="90" t="s">
        <v>88</v>
      </c>
      <c r="L55" s="89"/>
      <c r="M55" s="89"/>
      <c r="N55" s="89"/>
      <c r="O55" s="175"/>
    </row>
    <row r="56" spans="1:15" ht="15" customHeight="1" x14ac:dyDescent="0.25">
      <c r="A56" s="88" t="s">
        <v>809</v>
      </c>
      <c r="B56" s="88" t="s">
        <v>810</v>
      </c>
      <c r="C56" s="88">
        <v>2210</v>
      </c>
      <c r="D56" s="88" t="s">
        <v>1003</v>
      </c>
      <c r="E56" s="88" t="s">
        <v>901</v>
      </c>
      <c r="F56" s="88" t="s">
        <v>902</v>
      </c>
      <c r="G56" s="88"/>
      <c r="H56" s="88"/>
      <c r="I56" s="305">
        <v>3011.2</v>
      </c>
      <c r="J56" s="215"/>
      <c r="K56" s="90" t="s">
        <v>88</v>
      </c>
      <c r="L56" s="89"/>
      <c r="M56" s="89"/>
      <c r="N56" s="89"/>
      <c r="O56" s="175"/>
    </row>
    <row r="57" spans="1:15" ht="15" customHeight="1" x14ac:dyDescent="0.25">
      <c r="A57" s="88" t="s">
        <v>803</v>
      </c>
      <c r="B57" s="88" t="s">
        <v>804</v>
      </c>
      <c r="C57" s="88">
        <v>2210</v>
      </c>
      <c r="D57" s="88" t="s">
        <v>1003</v>
      </c>
      <c r="E57" s="88" t="s">
        <v>903</v>
      </c>
      <c r="F57" s="88" t="s">
        <v>904</v>
      </c>
      <c r="G57" s="88"/>
      <c r="H57" s="88"/>
      <c r="I57" s="305">
        <v>94209.59</v>
      </c>
      <c r="J57" s="215"/>
      <c r="K57" s="90" t="s">
        <v>88</v>
      </c>
      <c r="L57" s="89"/>
      <c r="M57" s="89"/>
      <c r="N57" s="89"/>
      <c r="O57" s="175"/>
    </row>
    <row r="58" spans="1:15" ht="15" customHeight="1" x14ac:dyDescent="0.25">
      <c r="A58" s="88" t="s">
        <v>805</v>
      </c>
      <c r="B58" s="88" t="s">
        <v>806</v>
      </c>
      <c r="C58" s="88">
        <v>2210</v>
      </c>
      <c r="D58" s="88" t="s">
        <v>1003</v>
      </c>
      <c r="E58" s="88" t="s">
        <v>903</v>
      </c>
      <c r="F58" s="88" t="s">
        <v>904</v>
      </c>
      <c r="G58" s="88"/>
      <c r="H58" s="88"/>
      <c r="I58" s="305">
        <v>6571.71</v>
      </c>
      <c r="J58" s="215"/>
      <c r="K58" s="90" t="s">
        <v>88</v>
      </c>
      <c r="L58" s="89"/>
      <c r="M58" s="89"/>
      <c r="N58" s="89"/>
      <c r="O58" s="175"/>
    </row>
    <row r="59" spans="1:15" ht="15" customHeight="1" x14ac:dyDescent="0.25">
      <c r="A59" s="88" t="s">
        <v>807</v>
      </c>
      <c r="B59" s="88" t="s">
        <v>808</v>
      </c>
      <c r="C59" s="88">
        <v>2210</v>
      </c>
      <c r="D59" s="88" t="s">
        <v>1003</v>
      </c>
      <c r="E59" s="88" t="s">
        <v>903</v>
      </c>
      <c r="F59" s="88" t="s">
        <v>904</v>
      </c>
      <c r="G59" s="88"/>
      <c r="H59" s="88"/>
      <c r="I59" s="305">
        <v>77792.61</v>
      </c>
      <c r="J59" s="215"/>
      <c r="K59" s="216" t="s">
        <v>88</v>
      </c>
      <c r="L59" s="89"/>
      <c r="M59" s="89"/>
      <c r="N59" s="89"/>
      <c r="O59" s="175"/>
    </row>
    <row r="60" spans="1:15" ht="15" customHeight="1" x14ac:dyDescent="0.25">
      <c r="A60" s="88" t="s">
        <v>809</v>
      </c>
      <c r="B60" s="88" t="s">
        <v>810</v>
      </c>
      <c r="C60" s="88">
        <v>2210</v>
      </c>
      <c r="D60" s="88" t="s">
        <v>1003</v>
      </c>
      <c r="E60" s="88" t="s">
        <v>903</v>
      </c>
      <c r="F60" s="88" t="s">
        <v>904</v>
      </c>
      <c r="G60" s="88"/>
      <c r="H60" s="88"/>
      <c r="I60" s="305">
        <v>119129.62</v>
      </c>
      <c r="J60" s="215"/>
      <c r="K60" s="90" t="s">
        <v>88</v>
      </c>
      <c r="L60" s="89"/>
      <c r="M60" s="89"/>
      <c r="N60" s="89"/>
      <c r="O60" s="175"/>
    </row>
    <row r="61" spans="1:15" ht="15" customHeight="1" x14ac:dyDescent="0.25">
      <c r="A61" s="88" t="s">
        <v>811</v>
      </c>
      <c r="B61" s="88" t="s">
        <v>812</v>
      </c>
      <c r="C61" s="88">
        <v>2210</v>
      </c>
      <c r="D61" s="88" t="s">
        <v>1003</v>
      </c>
      <c r="E61" s="88" t="s">
        <v>903</v>
      </c>
      <c r="F61" s="88" t="s">
        <v>904</v>
      </c>
      <c r="G61" s="88"/>
      <c r="H61" s="88"/>
      <c r="I61" s="305">
        <v>49711.58</v>
      </c>
      <c r="J61" s="215"/>
      <c r="K61" s="90" t="s">
        <v>88</v>
      </c>
      <c r="L61" s="89"/>
      <c r="M61" s="89"/>
      <c r="N61" s="89"/>
      <c r="O61" s="175"/>
    </row>
    <row r="62" spans="1:15" ht="15" customHeight="1" x14ac:dyDescent="0.25">
      <c r="A62" s="88" t="s">
        <v>811</v>
      </c>
      <c r="B62" s="88" t="s">
        <v>812</v>
      </c>
      <c r="C62" s="88">
        <v>2210</v>
      </c>
      <c r="D62" s="88" t="s">
        <v>1003</v>
      </c>
      <c r="E62" s="88" t="s">
        <v>1022</v>
      </c>
      <c r="F62" s="88" t="s">
        <v>1023</v>
      </c>
      <c r="G62" s="88"/>
      <c r="H62" s="88"/>
      <c r="I62" s="305">
        <v>4373.01</v>
      </c>
      <c r="J62" s="215"/>
      <c r="K62" s="90" t="s">
        <v>88</v>
      </c>
      <c r="L62" s="89"/>
      <c r="M62" s="89"/>
      <c r="N62" s="89"/>
      <c r="O62" s="175"/>
    </row>
    <row r="63" spans="1:15" ht="15" customHeight="1" x14ac:dyDescent="0.25">
      <c r="A63" s="88" t="s">
        <v>811</v>
      </c>
      <c r="B63" s="88" t="s">
        <v>812</v>
      </c>
      <c r="C63" s="88">
        <v>2210</v>
      </c>
      <c r="D63" s="88" t="s">
        <v>1003</v>
      </c>
      <c r="E63" s="88" t="s">
        <v>905</v>
      </c>
      <c r="F63" s="88" t="s">
        <v>906</v>
      </c>
      <c r="G63" s="88"/>
      <c r="H63" s="88"/>
      <c r="I63" s="305">
        <v>100.68</v>
      </c>
      <c r="J63" s="215"/>
      <c r="K63" s="90" t="s">
        <v>88</v>
      </c>
      <c r="L63" s="89"/>
      <c r="M63" s="89"/>
      <c r="N63" s="89"/>
      <c r="O63" s="175"/>
    </row>
    <row r="64" spans="1:15" ht="15" customHeight="1" x14ac:dyDescent="0.25">
      <c r="A64" s="88" t="s">
        <v>1004</v>
      </c>
      <c r="B64" s="88" t="s">
        <v>1005</v>
      </c>
      <c r="C64" s="88">
        <v>2210</v>
      </c>
      <c r="D64" s="88" t="s">
        <v>1003</v>
      </c>
      <c r="E64" s="88" t="s">
        <v>905</v>
      </c>
      <c r="F64" s="88" t="s">
        <v>906</v>
      </c>
      <c r="G64" s="88"/>
      <c r="H64" s="88"/>
      <c r="I64" s="305">
        <v>402.16</v>
      </c>
      <c r="J64" s="215"/>
      <c r="K64" s="90" t="s">
        <v>88</v>
      </c>
      <c r="L64" s="89"/>
      <c r="M64" s="89"/>
      <c r="N64" s="89"/>
      <c r="O64" s="175"/>
    </row>
    <row r="65" spans="1:15" ht="15" customHeight="1" x14ac:dyDescent="0.25">
      <c r="A65" s="88" t="s">
        <v>809</v>
      </c>
      <c r="B65" s="88" t="s">
        <v>810</v>
      </c>
      <c r="C65" s="88">
        <v>2210</v>
      </c>
      <c r="D65" s="88" t="s">
        <v>1003</v>
      </c>
      <c r="E65" s="88" t="s">
        <v>911</v>
      </c>
      <c r="F65" s="88" t="s">
        <v>912</v>
      </c>
      <c r="G65" s="88"/>
      <c r="H65" s="88"/>
      <c r="I65" s="305">
        <v>8700</v>
      </c>
      <c r="J65" s="215"/>
      <c r="K65" s="90" t="s">
        <v>88</v>
      </c>
      <c r="L65" s="91"/>
      <c r="M65" s="91"/>
      <c r="N65" s="89"/>
      <c r="O65" s="175"/>
    </row>
    <row r="66" spans="1:15" ht="15" customHeight="1" x14ac:dyDescent="0.25">
      <c r="A66" s="88" t="s">
        <v>809</v>
      </c>
      <c r="B66" s="88" t="s">
        <v>810</v>
      </c>
      <c r="C66" s="88">
        <v>2210</v>
      </c>
      <c r="D66" s="88" t="s">
        <v>1003</v>
      </c>
      <c r="E66" s="88" t="s">
        <v>1024</v>
      </c>
      <c r="F66" s="88" t="s">
        <v>1025</v>
      </c>
      <c r="G66" s="88"/>
      <c r="H66" s="88"/>
      <c r="I66" s="305">
        <v>15744.65</v>
      </c>
      <c r="J66" s="215"/>
      <c r="K66" s="90" t="s">
        <v>88</v>
      </c>
      <c r="L66" s="89"/>
      <c r="M66" s="89"/>
      <c r="N66" s="91"/>
      <c r="O66" s="175"/>
    </row>
    <row r="67" spans="1:15" ht="15" customHeight="1" x14ac:dyDescent="0.25">
      <c r="A67" s="88" t="s">
        <v>1004</v>
      </c>
      <c r="B67" s="88" t="s">
        <v>1005</v>
      </c>
      <c r="C67" s="88">
        <v>2210</v>
      </c>
      <c r="D67" s="88" t="s">
        <v>1003</v>
      </c>
      <c r="E67" s="88" t="s">
        <v>1024</v>
      </c>
      <c r="F67" s="88" t="s">
        <v>1025</v>
      </c>
      <c r="G67" s="88"/>
      <c r="H67" s="88"/>
      <c r="I67" s="305">
        <v>96111.2</v>
      </c>
      <c r="J67" s="215"/>
      <c r="K67" s="90" t="s">
        <v>88</v>
      </c>
      <c r="L67" s="89"/>
      <c r="M67" s="89"/>
      <c r="N67" s="89"/>
      <c r="O67" s="175"/>
    </row>
    <row r="68" spans="1:15" ht="15" customHeight="1" x14ac:dyDescent="0.25">
      <c r="A68" s="88" t="s">
        <v>917</v>
      </c>
      <c r="B68" s="88" t="s">
        <v>918</v>
      </c>
      <c r="C68" s="88">
        <v>2210</v>
      </c>
      <c r="D68" s="88" t="s">
        <v>1003</v>
      </c>
      <c r="E68" s="88" t="s">
        <v>1026</v>
      </c>
      <c r="F68" s="88" t="s">
        <v>1027</v>
      </c>
      <c r="G68" s="88"/>
      <c r="H68" s="88"/>
      <c r="I68" s="305">
        <v>130290</v>
      </c>
      <c r="J68" s="215"/>
      <c r="K68" s="90" t="s">
        <v>88</v>
      </c>
      <c r="L68" s="89"/>
      <c r="M68" s="89"/>
      <c r="N68" s="89"/>
      <c r="O68" s="175"/>
    </row>
    <row r="69" spans="1:15" ht="15" customHeight="1" x14ac:dyDescent="0.25">
      <c r="A69" s="88" t="s">
        <v>917</v>
      </c>
      <c r="B69" s="88" t="s">
        <v>918</v>
      </c>
      <c r="C69" s="88">
        <v>2210</v>
      </c>
      <c r="D69" s="88" t="s">
        <v>1003</v>
      </c>
      <c r="E69" s="88" t="s">
        <v>1028</v>
      </c>
      <c r="F69" s="88" t="s">
        <v>1029</v>
      </c>
      <c r="G69" s="88"/>
      <c r="H69" s="88"/>
      <c r="I69" s="305">
        <v>5338</v>
      </c>
      <c r="J69" s="215"/>
      <c r="K69" s="90" t="s">
        <v>88</v>
      </c>
      <c r="L69" s="89"/>
      <c r="M69" s="89"/>
      <c r="N69" s="89"/>
      <c r="O69" s="175"/>
    </row>
    <row r="70" spans="1:15" ht="15" customHeight="1" x14ac:dyDescent="0.25">
      <c r="A70" s="88" t="s">
        <v>917</v>
      </c>
      <c r="B70" s="88" t="s">
        <v>918</v>
      </c>
      <c r="C70" s="88">
        <v>2210</v>
      </c>
      <c r="D70" s="88" t="s">
        <v>1003</v>
      </c>
      <c r="E70" s="88" t="s">
        <v>1030</v>
      </c>
      <c r="F70" s="88" t="s">
        <v>1031</v>
      </c>
      <c r="G70" s="88"/>
      <c r="H70" s="88"/>
      <c r="I70" s="305">
        <v>23250</v>
      </c>
      <c r="J70" s="215"/>
      <c r="K70" s="90" t="s">
        <v>88</v>
      </c>
      <c r="L70" s="89"/>
      <c r="M70" s="89"/>
      <c r="N70" s="89"/>
      <c r="O70" s="175"/>
    </row>
    <row r="71" spans="1:15" ht="15" customHeight="1" x14ac:dyDescent="0.25">
      <c r="A71" s="88" t="s">
        <v>803</v>
      </c>
      <c r="B71" s="88" t="s">
        <v>804</v>
      </c>
      <c r="C71" s="88">
        <v>2210</v>
      </c>
      <c r="D71" s="88" t="s">
        <v>1003</v>
      </c>
      <c r="E71" s="88" t="s">
        <v>913</v>
      </c>
      <c r="F71" s="88" t="s">
        <v>914</v>
      </c>
      <c r="G71" s="88"/>
      <c r="H71" s="88"/>
      <c r="I71" s="305">
        <v>30214.400000000001</v>
      </c>
      <c r="J71" s="215"/>
      <c r="K71" s="90" t="s">
        <v>88</v>
      </c>
      <c r="L71" s="89"/>
      <c r="M71" s="89"/>
      <c r="N71" s="89"/>
      <c r="O71" s="175"/>
    </row>
    <row r="72" spans="1:15" ht="15" customHeight="1" x14ac:dyDescent="0.25">
      <c r="A72" s="88" t="s">
        <v>805</v>
      </c>
      <c r="B72" s="88" t="s">
        <v>806</v>
      </c>
      <c r="C72" s="88">
        <v>2210</v>
      </c>
      <c r="D72" s="88" t="s">
        <v>1003</v>
      </c>
      <c r="E72" s="88" t="s">
        <v>913</v>
      </c>
      <c r="F72" s="88" t="s">
        <v>914</v>
      </c>
      <c r="G72" s="88"/>
      <c r="H72" s="88"/>
      <c r="I72" s="305">
        <v>4013.76</v>
      </c>
      <c r="J72" s="215"/>
      <c r="K72" s="90" t="s">
        <v>88</v>
      </c>
      <c r="L72" s="89"/>
      <c r="M72" s="89"/>
      <c r="N72" s="89"/>
      <c r="O72" s="175"/>
    </row>
    <row r="73" spans="1:15" ht="15" customHeight="1" x14ac:dyDescent="0.25">
      <c r="A73" s="88" t="s">
        <v>809</v>
      </c>
      <c r="B73" s="88" t="s">
        <v>810</v>
      </c>
      <c r="C73" s="88">
        <v>2210</v>
      </c>
      <c r="D73" s="88" t="s">
        <v>1003</v>
      </c>
      <c r="E73" s="88" t="s">
        <v>913</v>
      </c>
      <c r="F73" s="88" t="s">
        <v>914</v>
      </c>
      <c r="G73" s="88"/>
      <c r="H73" s="88"/>
      <c r="I73" s="305">
        <v>6771.59</v>
      </c>
      <c r="J73" s="215"/>
      <c r="K73" s="90" t="s">
        <v>88</v>
      </c>
      <c r="L73" s="89"/>
      <c r="M73" s="89"/>
      <c r="N73" s="89"/>
      <c r="O73" s="175"/>
    </row>
    <row r="74" spans="1:15" ht="15" customHeight="1" x14ac:dyDescent="0.25">
      <c r="A74" s="88" t="s">
        <v>811</v>
      </c>
      <c r="B74" s="88" t="s">
        <v>812</v>
      </c>
      <c r="C74" s="88">
        <v>2210</v>
      </c>
      <c r="D74" s="88" t="s">
        <v>1003</v>
      </c>
      <c r="E74" s="88" t="s">
        <v>913</v>
      </c>
      <c r="F74" s="88" t="s">
        <v>914</v>
      </c>
      <c r="G74" s="88"/>
      <c r="H74" s="88"/>
      <c r="I74" s="305">
        <v>65980.97</v>
      </c>
      <c r="J74" s="215"/>
      <c r="K74" s="90" t="s">
        <v>88</v>
      </c>
      <c r="L74" s="89"/>
      <c r="M74" s="89"/>
      <c r="N74" s="89"/>
      <c r="O74" s="175"/>
    </row>
    <row r="75" spans="1:15" ht="15" customHeight="1" x14ac:dyDescent="0.25">
      <c r="A75" s="88" t="s">
        <v>834</v>
      </c>
      <c r="B75" s="88" t="s">
        <v>835</v>
      </c>
      <c r="C75" s="88">
        <v>2210</v>
      </c>
      <c r="D75" s="88" t="s">
        <v>1003</v>
      </c>
      <c r="E75" s="88" t="s">
        <v>913</v>
      </c>
      <c r="F75" s="88" t="s">
        <v>914</v>
      </c>
      <c r="G75" s="88"/>
      <c r="H75" s="88"/>
      <c r="I75" s="305">
        <v>17037</v>
      </c>
      <c r="J75" s="215"/>
      <c r="K75" s="90" t="s">
        <v>88</v>
      </c>
      <c r="L75" s="89"/>
      <c r="M75" s="89"/>
      <c r="N75" s="89"/>
      <c r="O75" s="175"/>
    </row>
    <row r="76" spans="1:15" ht="15" customHeight="1" x14ac:dyDescent="0.25">
      <c r="A76" s="88" t="s">
        <v>1032</v>
      </c>
      <c r="B76" s="88" t="s">
        <v>1033</v>
      </c>
      <c r="C76" s="88">
        <v>2210</v>
      </c>
      <c r="D76" s="88" t="s">
        <v>1003</v>
      </c>
      <c r="E76" s="88" t="s">
        <v>913</v>
      </c>
      <c r="F76" s="88" t="s">
        <v>914</v>
      </c>
      <c r="G76" s="88"/>
      <c r="H76" s="88"/>
      <c r="I76" s="305">
        <v>13205.2</v>
      </c>
      <c r="J76" s="215"/>
      <c r="K76" s="90" t="s">
        <v>88</v>
      </c>
      <c r="L76" s="89"/>
      <c r="M76" s="89"/>
      <c r="N76" s="89"/>
      <c r="O76" s="175"/>
    </row>
    <row r="77" spans="1:15" ht="15" customHeight="1" x14ac:dyDescent="0.25">
      <c r="A77" s="88" t="s">
        <v>1004</v>
      </c>
      <c r="B77" s="88" t="s">
        <v>1005</v>
      </c>
      <c r="C77" s="88">
        <v>2210</v>
      </c>
      <c r="D77" s="88" t="s">
        <v>1003</v>
      </c>
      <c r="E77" s="88" t="s">
        <v>913</v>
      </c>
      <c r="F77" s="88" t="s">
        <v>914</v>
      </c>
      <c r="G77" s="88"/>
      <c r="H77" s="88"/>
      <c r="I77" s="305">
        <v>407582.87</v>
      </c>
      <c r="J77" s="215"/>
      <c r="K77" s="90" t="s">
        <v>88</v>
      </c>
      <c r="L77" s="89"/>
      <c r="M77" s="89"/>
      <c r="N77" s="89"/>
      <c r="O77" s="175"/>
    </row>
    <row r="78" spans="1:15" ht="15" customHeight="1" x14ac:dyDescent="0.25">
      <c r="A78" s="88" t="s">
        <v>1004</v>
      </c>
      <c r="B78" s="88" t="s">
        <v>1005</v>
      </c>
      <c r="C78" s="88">
        <v>2210</v>
      </c>
      <c r="D78" s="88" t="s">
        <v>1003</v>
      </c>
      <c r="E78" s="88" t="s">
        <v>1034</v>
      </c>
      <c r="F78" s="88" t="s">
        <v>1035</v>
      </c>
      <c r="G78" s="88"/>
      <c r="H78" s="88"/>
      <c r="I78" s="305">
        <v>163441.39000000001</v>
      </c>
      <c r="J78" s="215"/>
      <c r="K78" s="90" t="s">
        <v>88</v>
      </c>
      <c r="L78" s="89"/>
      <c r="M78" s="89"/>
      <c r="N78" s="89"/>
      <c r="O78" s="175"/>
    </row>
    <row r="79" spans="1:15" ht="15" customHeight="1" x14ac:dyDescent="0.25">
      <c r="A79" s="88" t="s">
        <v>803</v>
      </c>
      <c r="B79" s="88" t="s">
        <v>804</v>
      </c>
      <c r="C79" s="88">
        <v>2210</v>
      </c>
      <c r="D79" s="88" t="s">
        <v>1003</v>
      </c>
      <c r="E79" s="88" t="s">
        <v>915</v>
      </c>
      <c r="F79" s="88" t="s">
        <v>916</v>
      </c>
      <c r="G79" s="88"/>
      <c r="H79" s="88"/>
      <c r="I79" s="305">
        <v>5172.03</v>
      </c>
      <c r="J79" s="215"/>
      <c r="K79" s="90" t="s">
        <v>88</v>
      </c>
      <c r="L79" s="89"/>
      <c r="M79" s="89"/>
      <c r="N79" s="89"/>
      <c r="O79" s="175"/>
    </row>
    <row r="80" spans="1:15" ht="15" customHeight="1" x14ac:dyDescent="0.25">
      <c r="A80" s="88" t="s">
        <v>809</v>
      </c>
      <c r="B80" s="88" t="s">
        <v>810</v>
      </c>
      <c r="C80" s="88">
        <v>2210</v>
      </c>
      <c r="D80" s="88" t="s">
        <v>1003</v>
      </c>
      <c r="E80" s="88" t="s">
        <v>915</v>
      </c>
      <c r="F80" s="88" t="s">
        <v>916</v>
      </c>
      <c r="G80" s="88"/>
      <c r="H80" s="88"/>
      <c r="I80" s="305">
        <v>2909.7</v>
      </c>
      <c r="J80" s="215"/>
      <c r="K80" s="90" t="s">
        <v>88</v>
      </c>
      <c r="L80" s="89"/>
      <c r="M80" s="89"/>
      <c r="N80" s="89"/>
      <c r="O80" s="175"/>
    </row>
    <row r="81" spans="1:15" ht="15" customHeight="1" x14ac:dyDescent="0.25">
      <c r="A81" s="88" t="s">
        <v>811</v>
      </c>
      <c r="B81" s="88" t="s">
        <v>812</v>
      </c>
      <c r="C81" s="88">
        <v>2210</v>
      </c>
      <c r="D81" s="88" t="s">
        <v>1003</v>
      </c>
      <c r="E81" s="88" t="s">
        <v>915</v>
      </c>
      <c r="F81" s="88" t="s">
        <v>916</v>
      </c>
      <c r="G81" s="88"/>
      <c r="H81" s="88"/>
      <c r="I81" s="305">
        <v>2599.9699999999998</v>
      </c>
      <c r="J81" s="215"/>
      <c r="K81" s="90" t="s">
        <v>88</v>
      </c>
      <c r="L81" s="89"/>
      <c r="M81" s="89"/>
      <c r="N81" s="89"/>
      <c r="O81" s="175"/>
    </row>
    <row r="82" spans="1:15" ht="15" customHeight="1" x14ac:dyDescent="0.25">
      <c r="A82" s="88" t="s">
        <v>917</v>
      </c>
      <c r="B82" s="88" t="s">
        <v>918</v>
      </c>
      <c r="C82" s="88">
        <v>2210</v>
      </c>
      <c r="D82" s="88" t="s">
        <v>1003</v>
      </c>
      <c r="E82" s="88" t="s">
        <v>915</v>
      </c>
      <c r="F82" s="88" t="s">
        <v>916</v>
      </c>
      <c r="G82" s="88"/>
      <c r="H82" s="88"/>
      <c r="I82" s="305">
        <v>19746.05</v>
      </c>
      <c r="J82" s="215"/>
      <c r="K82" s="90" t="s">
        <v>88</v>
      </c>
      <c r="L82" s="89"/>
      <c r="M82" s="89"/>
      <c r="N82" s="89"/>
      <c r="O82" s="175"/>
    </row>
    <row r="83" spans="1:15" ht="15" customHeight="1" x14ac:dyDescent="0.25">
      <c r="A83" s="88" t="s">
        <v>1004</v>
      </c>
      <c r="B83" s="88" t="s">
        <v>1005</v>
      </c>
      <c r="C83" s="88">
        <v>2210</v>
      </c>
      <c r="D83" s="88" t="s">
        <v>1003</v>
      </c>
      <c r="E83" s="88" t="s">
        <v>915</v>
      </c>
      <c r="F83" s="88" t="s">
        <v>916</v>
      </c>
      <c r="G83" s="88"/>
      <c r="H83" s="88"/>
      <c r="I83" s="305">
        <v>100770.98</v>
      </c>
      <c r="J83" s="215"/>
      <c r="K83" s="90" t="s">
        <v>88</v>
      </c>
      <c r="L83" s="89"/>
      <c r="M83" s="89"/>
      <c r="N83" s="89"/>
      <c r="O83" s="175"/>
    </row>
    <row r="84" spans="1:15" ht="15" customHeight="1" x14ac:dyDescent="0.25">
      <c r="A84" s="88" t="s">
        <v>917</v>
      </c>
      <c r="B84" s="88" t="s">
        <v>918</v>
      </c>
      <c r="C84" s="88">
        <v>2210</v>
      </c>
      <c r="D84" s="88" t="s">
        <v>1003</v>
      </c>
      <c r="E84" s="88" t="s">
        <v>919</v>
      </c>
      <c r="F84" s="88" t="s">
        <v>920</v>
      </c>
      <c r="G84" s="88"/>
      <c r="H84" s="88"/>
      <c r="I84" s="305">
        <v>-56250</v>
      </c>
      <c r="J84" s="215"/>
      <c r="K84" s="90" t="s">
        <v>88</v>
      </c>
      <c r="L84" s="89"/>
      <c r="M84" s="89"/>
      <c r="N84" s="89"/>
      <c r="O84" s="175"/>
    </row>
    <row r="85" spans="1:15" ht="15" customHeight="1" x14ac:dyDescent="0.25">
      <c r="A85" s="88" t="s">
        <v>1004</v>
      </c>
      <c r="B85" s="88" t="s">
        <v>1005</v>
      </c>
      <c r="C85" s="88">
        <v>2210</v>
      </c>
      <c r="D85" s="88" t="s">
        <v>1003</v>
      </c>
      <c r="E85" s="88" t="s">
        <v>919</v>
      </c>
      <c r="F85" s="88" t="s">
        <v>920</v>
      </c>
      <c r="G85" s="88"/>
      <c r="H85" s="88"/>
      <c r="I85" s="305">
        <v>76514</v>
      </c>
      <c r="J85" s="215"/>
      <c r="K85" s="90" t="s">
        <v>88</v>
      </c>
      <c r="L85" s="89"/>
      <c r="M85" s="89"/>
      <c r="N85" s="89"/>
      <c r="O85" s="175"/>
    </row>
    <row r="86" spans="1:15" ht="15" customHeight="1" x14ac:dyDescent="0.25">
      <c r="A86" s="88" t="s">
        <v>803</v>
      </c>
      <c r="B86" s="88" t="s">
        <v>804</v>
      </c>
      <c r="C86" s="88">
        <v>2210</v>
      </c>
      <c r="D86" s="88" t="s">
        <v>1003</v>
      </c>
      <c r="E86" s="88" t="s">
        <v>933</v>
      </c>
      <c r="F86" s="88" t="s">
        <v>934</v>
      </c>
      <c r="G86" s="88"/>
      <c r="H86" s="88"/>
      <c r="I86" s="305">
        <v>67991.7</v>
      </c>
      <c r="J86" s="215"/>
      <c r="K86" s="90" t="s">
        <v>89</v>
      </c>
      <c r="L86" s="89"/>
      <c r="M86" s="89"/>
      <c r="N86" s="89"/>
      <c r="O86" s="175"/>
    </row>
    <row r="87" spans="1:15" ht="15" customHeight="1" x14ac:dyDescent="0.25">
      <c r="A87" s="88" t="s">
        <v>805</v>
      </c>
      <c r="B87" s="88" t="s">
        <v>806</v>
      </c>
      <c r="C87" s="88">
        <v>2210</v>
      </c>
      <c r="D87" s="88" t="s">
        <v>1003</v>
      </c>
      <c r="E87" s="88" t="s">
        <v>933</v>
      </c>
      <c r="F87" s="88" t="s">
        <v>934</v>
      </c>
      <c r="G87" s="88"/>
      <c r="H87" s="88"/>
      <c r="I87" s="305">
        <v>15718.77</v>
      </c>
      <c r="J87" s="215"/>
      <c r="K87" s="90" t="s">
        <v>89</v>
      </c>
      <c r="L87" s="89"/>
      <c r="M87" s="89"/>
      <c r="N87" s="89"/>
      <c r="O87" s="175"/>
    </row>
    <row r="88" spans="1:15" ht="15" customHeight="1" x14ac:dyDescent="0.25">
      <c r="A88" s="88" t="s">
        <v>807</v>
      </c>
      <c r="B88" s="88" t="s">
        <v>808</v>
      </c>
      <c r="C88" s="88">
        <v>2210</v>
      </c>
      <c r="D88" s="88" t="s">
        <v>1003</v>
      </c>
      <c r="E88" s="88" t="s">
        <v>933</v>
      </c>
      <c r="F88" s="88" t="s">
        <v>934</v>
      </c>
      <c r="G88" s="88"/>
      <c r="H88" s="88"/>
      <c r="I88" s="305">
        <v>49706.82</v>
      </c>
      <c r="J88" s="215"/>
      <c r="K88" s="90" t="s">
        <v>89</v>
      </c>
      <c r="L88" s="89"/>
      <c r="M88" s="89"/>
      <c r="N88" s="89"/>
      <c r="O88" s="175"/>
    </row>
    <row r="89" spans="1:15" ht="15" customHeight="1" x14ac:dyDescent="0.25">
      <c r="A89" s="88" t="s">
        <v>809</v>
      </c>
      <c r="B89" s="88" t="s">
        <v>810</v>
      </c>
      <c r="C89" s="88">
        <v>2210</v>
      </c>
      <c r="D89" s="88" t="s">
        <v>1003</v>
      </c>
      <c r="E89" s="88" t="s">
        <v>933</v>
      </c>
      <c r="F89" s="88" t="s">
        <v>934</v>
      </c>
      <c r="G89" s="88"/>
      <c r="H89" s="88"/>
      <c r="I89" s="305">
        <v>56733.51</v>
      </c>
      <c r="J89" s="215"/>
      <c r="K89" s="90" t="s">
        <v>89</v>
      </c>
      <c r="L89" s="89"/>
      <c r="M89" s="89"/>
      <c r="N89" s="89"/>
      <c r="O89" s="175"/>
    </row>
    <row r="90" spans="1:15" ht="15" customHeight="1" x14ac:dyDescent="0.25">
      <c r="A90" s="88" t="s">
        <v>811</v>
      </c>
      <c r="B90" s="88" t="s">
        <v>812</v>
      </c>
      <c r="C90" s="88">
        <v>2210</v>
      </c>
      <c r="D90" s="88" t="s">
        <v>1003</v>
      </c>
      <c r="E90" s="88" t="s">
        <v>933</v>
      </c>
      <c r="F90" s="88" t="s">
        <v>934</v>
      </c>
      <c r="G90" s="88"/>
      <c r="H90" s="88"/>
      <c r="I90" s="305">
        <v>63662.68</v>
      </c>
      <c r="J90" s="215"/>
      <c r="K90" s="90" t="s">
        <v>89</v>
      </c>
      <c r="L90" s="89"/>
      <c r="M90" s="89"/>
      <c r="N90" s="89"/>
      <c r="O90" s="175"/>
    </row>
    <row r="91" spans="1:15" ht="15" customHeight="1" x14ac:dyDescent="0.25">
      <c r="A91" s="88" t="s">
        <v>917</v>
      </c>
      <c r="B91" s="88" t="s">
        <v>918</v>
      </c>
      <c r="C91" s="88">
        <v>2210</v>
      </c>
      <c r="D91" s="88" t="s">
        <v>1003</v>
      </c>
      <c r="E91" s="88" t="s">
        <v>933</v>
      </c>
      <c r="F91" s="88" t="s">
        <v>934</v>
      </c>
      <c r="G91" s="88"/>
      <c r="H91" s="88"/>
      <c r="I91" s="305">
        <v>4936.51</v>
      </c>
      <c r="J91" s="215"/>
      <c r="K91" s="90" t="s">
        <v>89</v>
      </c>
      <c r="L91" s="89"/>
      <c r="M91" s="89"/>
      <c r="N91" s="89"/>
      <c r="O91" s="175"/>
    </row>
    <row r="92" spans="1:15" ht="15" customHeight="1" x14ac:dyDescent="0.25">
      <c r="A92" s="88" t="s">
        <v>834</v>
      </c>
      <c r="B92" s="88" t="s">
        <v>835</v>
      </c>
      <c r="C92" s="88">
        <v>2210</v>
      </c>
      <c r="D92" s="88" t="s">
        <v>1003</v>
      </c>
      <c r="E92" s="88" t="s">
        <v>933</v>
      </c>
      <c r="F92" s="88" t="s">
        <v>934</v>
      </c>
      <c r="G92" s="88"/>
      <c r="H92" s="88"/>
      <c r="I92" s="305">
        <v>70434.44</v>
      </c>
      <c r="J92" s="215"/>
      <c r="K92" s="90" t="s">
        <v>89</v>
      </c>
      <c r="L92" s="89"/>
      <c r="M92" s="89"/>
      <c r="N92" s="89"/>
      <c r="O92" s="175"/>
    </row>
    <row r="93" spans="1:15" ht="15" customHeight="1" x14ac:dyDescent="0.25">
      <c r="A93" s="88" t="s">
        <v>1032</v>
      </c>
      <c r="B93" s="88" t="s">
        <v>1033</v>
      </c>
      <c r="C93" s="88">
        <v>2210</v>
      </c>
      <c r="D93" s="88" t="s">
        <v>1003</v>
      </c>
      <c r="E93" s="88" t="s">
        <v>933</v>
      </c>
      <c r="F93" s="88" t="s">
        <v>934</v>
      </c>
      <c r="G93" s="88"/>
      <c r="H93" s="88"/>
      <c r="I93" s="305">
        <v>3301.3</v>
      </c>
      <c r="J93" s="37"/>
      <c r="K93" s="55" t="s">
        <v>89</v>
      </c>
      <c r="L93" s="89"/>
      <c r="M93" s="89"/>
      <c r="N93" s="89"/>
      <c r="O93" s="174"/>
    </row>
    <row r="94" spans="1:15" ht="15" customHeight="1" x14ac:dyDescent="0.25">
      <c r="A94" s="88" t="s">
        <v>1004</v>
      </c>
      <c r="B94" s="88" t="s">
        <v>1005</v>
      </c>
      <c r="C94" s="88">
        <v>2210</v>
      </c>
      <c r="D94" s="88" t="s">
        <v>1003</v>
      </c>
      <c r="E94" s="88" t="s">
        <v>933</v>
      </c>
      <c r="F94" s="88" t="s">
        <v>934</v>
      </c>
      <c r="G94" s="88"/>
      <c r="H94" s="88"/>
      <c r="I94" s="305">
        <v>211080.4</v>
      </c>
      <c r="J94" s="37"/>
      <c r="K94" s="55" t="s">
        <v>89</v>
      </c>
      <c r="L94" s="89"/>
      <c r="M94" s="89"/>
      <c r="N94" s="89"/>
      <c r="O94" s="174"/>
    </row>
    <row r="95" spans="1:15" ht="15" customHeight="1" x14ac:dyDescent="0.25">
      <c r="A95" s="88" t="s">
        <v>842</v>
      </c>
      <c r="B95" s="88" t="s">
        <v>843</v>
      </c>
      <c r="C95" s="88">
        <v>2210</v>
      </c>
      <c r="D95" s="88" t="s">
        <v>1003</v>
      </c>
      <c r="E95" s="88" t="s">
        <v>939</v>
      </c>
      <c r="F95" s="88" t="s">
        <v>940</v>
      </c>
      <c r="G95" s="88"/>
      <c r="H95" s="88"/>
      <c r="I95" s="305">
        <v>7868442.4800000004</v>
      </c>
      <c r="J95" s="37"/>
      <c r="K95" s="55" t="s">
        <v>728</v>
      </c>
      <c r="L95" s="89"/>
      <c r="M95" s="89"/>
      <c r="N95" s="89"/>
      <c r="O95" s="174"/>
    </row>
    <row r="96" spans="1:15" ht="15" customHeight="1" x14ac:dyDescent="0.25">
      <c r="A96" s="88" t="s">
        <v>803</v>
      </c>
      <c r="B96" s="88" t="s">
        <v>804</v>
      </c>
      <c r="C96" s="88">
        <v>2210</v>
      </c>
      <c r="D96" s="88" t="s">
        <v>1003</v>
      </c>
      <c r="E96" s="88" t="s">
        <v>1036</v>
      </c>
      <c r="F96" s="88" t="s">
        <v>1037</v>
      </c>
      <c r="G96" s="88"/>
      <c r="H96" s="88"/>
      <c r="I96" s="305">
        <v>-7600</v>
      </c>
      <c r="J96" s="37"/>
      <c r="K96" s="55" t="s">
        <v>94</v>
      </c>
      <c r="L96" s="89"/>
      <c r="M96" s="89"/>
      <c r="N96" s="89"/>
      <c r="O96" s="174"/>
    </row>
    <row r="97" spans="1:15" x14ac:dyDescent="0.25">
      <c r="A97" s="88" t="s">
        <v>834</v>
      </c>
      <c r="B97" s="88" t="s">
        <v>835</v>
      </c>
      <c r="C97" s="88">
        <v>2210</v>
      </c>
      <c r="D97" s="88" t="s">
        <v>1003</v>
      </c>
      <c r="E97" s="88" t="s">
        <v>949</v>
      </c>
      <c r="F97" s="88" t="s">
        <v>950</v>
      </c>
      <c r="G97" s="88"/>
      <c r="H97" s="88"/>
      <c r="I97" s="305">
        <v>-360367</v>
      </c>
      <c r="J97" s="37"/>
      <c r="K97" s="55" t="s">
        <v>90</v>
      </c>
      <c r="L97" s="89"/>
      <c r="M97" s="89"/>
      <c r="N97" s="89"/>
      <c r="O97" s="174"/>
    </row>
    <row r="98" spans="1:15" x14ac:dyDescent="0.25">
      <c r="A98" s="88" t="s">
        <v>803</v>
      </c>
      <c r="B98" s="88" t="s">
        <v>804</v>
      </c>
      <c r="C98" s="88">
        <v>2210</v>
      </c>
      <c r="D98" s="88" t="s">
        <v>1003</v>
      </c>
      <c r="E98" s="88" t="s">
        <v>953</v>
      </c>
      <c r="F98" s="88" t="s">
        <v>954</v>
      </c>
      <c r="G98" s="88"/>
      <c r="H98" s="88"/>
      <c r="I98" s="305">
        <v>-67991.7</v>
      </c>
      <c r="J98" s="37"/>
      <c r="K98" s="55" t="s">
        <v>91</v>
      </c>
      <c r="L98" s="89"/>
      <c r="M98" s="89"/>
      <c r="N98" s="89"/>
      <c r="O98" s="174"/>
    </row>
    <row r="99" spans="1:15" x14ac:dyDescent="0.25">
      <c r="A99" s="88" t="s">
        <v>805</v>
      </c>
      <c r="B99" s="88" t="s">
        <v>806</v>
      </c>
      <c r="C99" s="88">
        <v>2210</v>
      </c>
      <c r="D99" s="88" t="s">
        <v>1003</v>
      </c>
      <c r="E99" s="88" t="s">
        <v>953</v>
      </c>
      <c r="F99" s="88" t="s">
        <v>954</v>
      </c>
      <c r="G99" s="88"/>
      <c r="H99" s="88"/>
      <c r="I99" s="305">
        <v>-15718.77</v>
      </c>
      <c r="J99" s="37"/>
      <c r="K99" s="55" t="s">
        <v>91</v>
      </c>
      <c r="L99" s="89"/>
      <c r="M99" s="89"/>
      <c r="N99" s="89"/>
      <c r="O99" s="174"/>
    </row>
    <row r="100" spans="1:15" x14ac:dyDescent="0.25">
      <c r="A100" s="88" t="s">
        <v>807</v>
      </c>
      <c r="B100" s="88" t="s">
        <v>808</v>
      </c>
      <c r="C100" s="88">
        <v>2210</v>
      </c>
      <c r="D100" s="88" t="s">
        <v>1003</v>
      </c>
      <c r="E100" s="88" t="s">
        <v>953</v>
      </c>
      <c r="F100" s="88" t="s">
        <v>954</v>
      </c>
      <c r="G100" s="88"/>
      <c r="H100" s="88"/>
      <c r="I100" s="305">
        <v>-49706.82</v>
      </c>
      <c r="J100" s="37"/>
      <c r="K100" s="55" t="s">
        <v>91</v>
      </c>
      <c r="L100" s="89"/>
      <c r="M100" s="89"/>
      <c r="N100" s="89"/>
      <c r="O100" s="174"/>
    </row>
    <row r="101" spans="1:15" x14ac:dyDescent="0.25">
      <c r="A101" s="88" t="s">
        <v>809</v>
      </c>
      <c r="B101" s="88" t="s">
        <v>810</v>
      </c>
      <c r="C101" s="88">
        <v>2210</v>
      </c>
      <c r="D101" s="88" t="s">
        <v>1003</v>
      </c>
      <c r="E101" s="88" t="s">
        <v>953</v>
      </c>
      <c r="F101" s="88" t="s">
        <v>954</v>
      </c>
      <c r="G101" s="88"/>
      <c r="H101" s="88"/>
      <c r="I101" s="305">
        <v>-56733.51</v>
      </c>
      <c r="J101" s="37"/>
      <c r="K101" s="55" t="s">
        <v>91</v>
      </c>
      <c r="L101" s="89"/>
      <c r="M101" s="89"/>
      <c r="N101" s="89"/>
      <c r="O101" s="174"/>
    </row>
    <row r="102" spans="1:15" x14ac:dyDescent="0.25">
      <c r="A102" s="88" t="s">
        <v>811</v>
      </c>
      <c r="B102" s="88" t="s">
        <v>812</v>
      </c>
      <c r="C102" s="88">
        <v>2210</v>
      </c>
      <c r="D102" s="88" t="s">
        <v>1003</v>
      </c>
      <c r="E102" s="88" t="s">
        <v>953</v>
      </c>
      <c r="F102" s="88" t="s">
        <v>954</v>
      </c>
      <c r="G102" s="88"/>
      <c r="H102" s="88"/>
      <c r="I102" s="305">
        <v>-63662.68</v>
      </c>
      <c r="J102" s="37"/>
      <c r="K102" s="55" t="s">
        <v>91</v>
      </c>
      <c r="L102" s="89"/>
      <c r="M102" s="89"/>
      <c r="N102" s="89"/>
      <c r="O102" s="174"/>
    </row>
    <row r="103" spans="1:15" x14ac:dyDescent="0.25">
      <c r="A103" s="88" t="s">
        <v>917</v>
      </c>
      <c r="B103" s="88" t="s">
        <v>918</v>
      </c>
      <c r="C103" s="88">
        <v>2210</v>
      </c>
      <c r="D103" s="88" t="s">
        <v>1003</v>
      </c>
      <c r="E103" s="88" t="s">
        <v>953</v>
      </c>
      <c r="F103" s="88" t="s">
        <v>954</v>
      </c>
      <c r="G103" s="88"/>
      <c r="H103" s="88"/>
      <c r="I103" s="305">
        <v>-4936.51</v>
      </c>
      <c r="J103" s="37"/>
      <c r="K103" s="55" t="s">
        <v>91</v>
      </c>
      <c r="L103" s="89"/>
      <c r="M103" s="89"/>
      <c r="N103" s="89"/>
      <c r="O103" s="174"/>
    </row>
    <row r="104" spans="1:15" x14ac:dyDescent="0.25">
      <c r="A104" s="88" t="s">
        <v>834</v>
      </c>
      <c r="B104" s="88" t="s">
        <v>835</v>
      </c>
      <c r="C104" s="88">
        <v>2210</v>
      </c>
      <c r="D104" s="88" t="s">
        <v>1003</v>
      </c>
      <c r="E104" s="88" t="s">
        <v>953</v>
      </c>
      <c r="F104" s="88" t="s">
        <v>954</v>
      </c>
      <c r="G104" s="88"/>
      <c r="H104" s="88"/>
      <c r="I104" s="305">
        <v>-70434.44</v>
      </c>
      <c r="J104" s="37"/>
      <c r="K104" s="55" t="s">
        <v>91</v>
      </c>
      <c r="L104" s="89"/>
      <c r="M104" s="89"/>
      <c r="N104" s="89"/>
      <c r="O104" s="174"/>
    </row>
    <row r="105" spans="1:15" x14ac:dyDescent="0.25">
      <c r="A105" s="88" t="s">
        <v>1032</v>
      </c>
      <c r="B105" s="88" t="s">
        <v>1033</v>
      </c>
      <c r="C105" s="88">
        <v>2210</v>
      </c>
      <c r="D105" s="88" t="s">
        <v>1003</v>
      </c>
      <c r="E105" s="88" t="s">
        <v>953</v>
      </c>
      <c r="F105" s="88" t="s">
        <v>954</v>
      </c>
      <c r="G105" s="88"/>
      <c r="H105" s="88"/>
      <c r="I105" s="305">
        <v>-3301.3</v>
      </c>
      <c r="J105" s="37"/>
      <c r="K105" s="55" t="s">
        <v>91</v>
      </c>
      <c r="L105" s="89"/>
      <c r="M105" s="89"/>
      <c r="N105" s="89"/>
      <c r="O105" s="174"/>
    </row>
    <row r="106" spans="1:15" x14ac:dyDescent="0.25">
      <c r="A106" s="88" t="s">
        <v>1004</v>
      </c>
      <c r="B106" s="88" t="s">
        <v>1005</v>
      </c>
      <c r="C106" s="88">
        <v>2210</v>
      </c>
      <c r="D106" s="88" t="s">
        <v>1003</v>
      </c>
      <c r="E106" s="88" t="s">
        <v>953</v>
      </c>
      <c r="F106" s="88" t="s">
        <v>954</v>
      </c>
      <c r="G106" s="88"/>
      <c r="H106" s="88"/>
      <c r="I106" s="305">
        <v>-211080.4</v>
      </c>
      <c r="J106" s="37"/>
      <c r="K106" s="55" t="s">
        <v>91</v>
      </c>
      <c r="L106" s="89"/>
      <c r="M106" s="89"/>
      <c r="N106" s="89"/>
      <c r="O106" s="174"/>
    </row>
  </sheetData>
  <sortState xmlns:xlrd2="http://schemas.microsoft.com/office/spreadsheetml/2017/richdata2" ref="A4:O106">
    <sortCondition ref="E4:E106"/>
  </sortState>
  <mergeCells count="1">
    <mergeCell ref="A1:M1"/>
  </mergeCells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3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K93:K2328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H70"/>
  <sheetViews>
    <sheetView showGridLines="0" workbookViewId="0">
      <selection activeCell="G10" sqref="G10"/>
    </sheetView>
  </sheetViews>
  <sheetFormatPr baseColWidth="10" defaultColWidth="8.85546875" defaultRowHeight="15" x14ac:dyDescent="0.25"/>
  <cols>
    <col min="1" max="1" width="57.42578125" customWidth="1"/>
    <col min="2" max="2" width="22" style="252" customWidth="1"/>
    <col min="3" max="3" width="22.140625" bestFit="1" customWidth="1"/>
    <col min="4" max="4" width="30" customWidth="1"/>
    <col min="5" max="5" width="11.42578125" customWidth="1"/>
    <col min="6" max="6" width="23.42578125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4" ht="27.95" customHeight="1" x14ac:dyDescent="0.25">
      <c r="A1" s="345" t="s">
        <v>105</v>
      </c>
      <c r="B1" s="331"/>
      <c r="C1" s="331"/>
      <c r="D1" s="331"/>
    </row>
    <row r="2" spans="1:4" ht="20.100000000000001" customHeight="1" x14ac:dyDescent="0.25">
      <c r="A2" s="344" t="s">
        <v>106</v>
      </c>
      <c r="B2" s="331"/>
      <c r="C2" s="331"/>
      <c r="D2" s="331"/>
    </row>
    <row r="3" spans="1:4" ht="26.1" customHeight="1" x14ac:dyDescent="0.25">
      <c r="A3" s="25" t="s">
        <v>107</v>
      </c>
      <c r="B3" s="312" t="s">
        <v>108</v>
      </c>
      <c r="C3" s="25" t="s">
        <v>109</v>
      </c>
      <c r="D3" s="25" t="s">
        <v>100</v>
      </c>
    </row>
    <row r="4" spans="1:4" ht="20.100000000000001" customHeight="1" x14ac:dyDescent="0.25">
      <c r="A4" s="341" t="s">
        <v>110</v>
      </c>
      <c r="B4" s="331"/>
      <c r="C4" s="331"/>
      <c r="D4" s="331"/>
    </row>
    <row r="5" spans="1:4" ht="15.95" customHeight="1" x14ac:dyDescent="0.25">
      <c r="A5" s="101" t="s">
        <v>111</v>
      </c>
      <c r="B5" s="313">
        <f>IFERROR('3a. Økonomirapport 201'!$S$4,0)</f>
        <v>69327025.479999974</v>
      </c>
      <c r="C5" s="107" t="s">
        <v>112</v>
      </c>
      <c r="D5" s="101"/>
    </row>
    <row r="6" spans="1:4" ht="15.95" customHeight="1" x14ac:dyDescent="0.25">
      <c r="A6" s="101" t="s">
        <v>113</v>
      </c>
      <c r="B6" s="313">
        <f>IFERROR('3a. Økonomirapport 201'!$S$5,0)</f>
        <v>17259547.829999998</v>
      </c>
      <c r="C6" s="107" t="s">
        <v>114</v>
      </c>
      <c r="D6" s="101" t="s">
        <v>115</v>
      </c>
    </row>
    <row r="7" spans="1:4" ht="15.95" customHeight="1" x14ac:dyDescent="0.25">
      <c r="A7" s="101" t="s">
        <v>116</v>
      </c>
      <c r="B7" s="313">
        <f>IFERROR('3a. Økonomirapport 201'!$S$6,0)</f>
        <v>11240902.309999999</v>
      </c>
      <c r="C7" s="107" t="s">
        <v>117</v>
      </c>
      <c r="D7" s="101"/>
    </row>
    <row r="8" spans="1:4" ht="15.95" customHeight="1" x14ac:dyDescent="0.25">
      <c r="A8" s="101" t="s">
        <v>118</v>
      </c>
      <c r="B8" s="313">
        <f>IFERROR(-($B$6*(1+'0. Oppsett'!$C$11)),0)</f>
        <v>-19693144.074029997</v>
      </c>
      <c r="C8" s="107"/>
      <c r="D8" s="101"/>
    </row>
    <row r="9" spans="1:4" ht="15.95" customHeight="1" x14ac:dyDescent="0.25">
      <c r="A9" s="101" t="s">
        <v>119</v>
      </c>
      <c r="B9" s="313">
        <f>IFERROR('3a. Økonomirapport 201'!$S$7,0)</f>
        <v>3584410.5399999991</v>
      </c>
      <c r="C9" s="107" t="s">
        <v>120</v>
      </c>
      <c r="D9" s="101"/>
    </row>
    <row r="10" spans="1:4" ht="15.95" customHeight="1" x14ac:dyDescent="0.25">
      <c r="A10" s="101" t="s">
        <v>729</v>
      </c>
      <c r="B10" s="313">
        <f>IFERROR('3a. Økonomirapport 201'!$S$14,0)</f>
        <v>0</v>
      </c>
      <c r="C10" s="107"/>
      <c r="D10" s="101"/>
    </row>
    <row r="11" spans="1:4" ht="15.95" customHeight="1" x14ac:dyDescent="0.25">
      <c r="A11" s="101" t="s">
        <v>121</v>
      </c>
      <c r="B11" s="313">
        <f>IFERROR('3a. Økonomirapport 201'!$S$8,0)</f>
        <v>539620.48</v>
      </c>
      <c r="C11" s="107" t="s">
        <v>122</v>
      </c>
      <c r="D11" s="101"/>
    </row>
    <row r="12" spans="1:4" ht="15.95" customHeight="1" x14ac:dyDescent="0.25">
      <c r="A12" s="101" t="s">
        <v>123</v>
      </c>
      <c r="B12" s="313">
        <f>IFERROR('3a. Økonomirapport 201'!$S$9,0)</f>
        <v>-7592620</v>
      </c>
      <c r="C12" s="107" t="s">
        <v>124</v>
      </c>
      <c r="D12" s="101"/>
    </row>
    <row r="13" spans="1:4" ht="15.95" customHeight="1" x14ac:dyDescent="0.25">
      <c r="A13" s="101" t="s">
        <v>125</v>
      </c>
      <c r="B13" s="313">
        <f>IFERROR('3a. Økonomirapport 201'!$S$10,0)</f>
        <v>-539620.48</v>
      </c>
      <c r="C13" s="107" t="s">
        <v>126</v>
      </c>
      <c r="D13" s="101"/>
    </row>
    <row r="14" spans="1:4" ht="15.95" customHeight="1" x14ac:dyDescent="0.25">
      <c r="A14" s="101" t="s">
        <v>727</v>
      </c>
      <c r="B14" s="313">
        <f>IFERROR('3a. Økonomirapport 201'!$S$12,0)</f>
        <v>0</v>
      </c>
      <c r="C14" s="107" t="s">
        <v>128</v>
      </c>
      <c r="D14" s="101"/>
    </row>
    <row r="15" spans="1:4" ht="21.95" customHeight="1" x14ac:dyDescent="0.25">
      <c r="A15" s="121" t="s">
        <v>129</v>
      </c>
      <c r="B15" s="314">
        <f>SUM(B5:B14)</f>
        <v>74126122.085969985</v>
      </c>
      <c r="C15" s="122"/>
      <c r="D15" s="122"/>
    </row>
    <row r="16" spans="1:4" ht="20.100000000000001" customHeight="1" x14ac:dyDescent="0.25">
      <c r="A16" s="333" t="s">
        <v>130</v>
      </c>
      <c r="B16" s="331"/>
      <c r="C16" s="331"/>
      <c r="D16" s="331"/>
    </row>
    <row r="17" spans="1:4" ht="15.95" customHeight="1" x14ac:dyDescent="0.25">
      <c r="A17" s="217" t="s">
        <v>111</v>
      </c>
      <c r="B17" s="315">
        <f>IFERROR('3b. Økonomirapport 221'!$T$4,0)</f>
        <v>4830815.0599999996</v>
      </c>
      <c r="C17" s="103" t="s">
        <v>112</v>
      </c>
      <c r="D17" s="104"/>
    </row>
    <row r="18" spans="1:4" ht="15.95" customHeight="1" x14ac:dyDescent="0.25">
      <c r="A18" s="101" t="s">
        <v>113</v>
      </c>
      <c r="B18" s="315">
        <f>IFERROR('3b. Økonomirapport 221'!$T$5,0)</f>
        <v>1221362.82</v>
      </c>
      <c r="C18" s="103" t="s">
        <v>114</v>
      </c>
      <c r="D18" s="104"/>
    </row>
    <row r="19" spans="1:4" ht="15.95" customHeight="1" x14ac:dyDescent="0.25">
      <c r="A19" s="101" t="s">
        <v>116</v>
      </c>
      <c r="B19" s="315">
        <f>IFERROR('3b. Økonomirapport 221'!$T$6,0)</f>
        <v>804085.29</v>
      </c>
      <c r="C19" s="103" t="s">
        <v>117</v>
      </c>
      <c r="D19" s="104"/>
    </row>
    <row r="20" spans="1:4" ht="15.95" customHeight="1" x14ac:dyDescent="0.25">
      <c r="A20" s="101" t="s">
        <v>118</v>
      </c>
      <c r="B20" s="315">
        <f>IFERROR(-($B$18*(1+'0. Oppsett'!$C$11)),0)</f>
        <v>-1393574.97762</v>
      </c>
      <c r="C20" s="103"/>
      <c r="D20" s="104"/>
    </row>
    <row r="21" spans="1:4" ht="15.95" customHeight="1" x14ac:dyDescent="0.25">
      <c r="A21" s="101" t="s">
        <v>119</v>
      </c>
      <c r="B21" s="315">
        <f>IFERROR('3b. Økonomirapport 221'!$T$7,0)</f>
        <v>2481361.5099999998</v>
      </c>
      <c r="C21" s="103" t="s">
        <v>120</v>
      </c>
      <c r="D21" s="104"/>
    </row>
    <row r="22" spans="1:4" ht="15.95" customHeight="1" x14ac:dyDescent="0.25">
      <c r="A22" s="101" t="s">
        <v>121</v>
      </c>
      <c r="B22" s="315">
        <f>IFERROR('3b. Økonomirapport 221'!$T$8,0)</f>
        <v>543566.13</v>
      </c>
      <c r="C22" s="103" t="s">
        <v>122</v>
      </c>
      <c r="D22" s="104"/>
    </row>
    <row r="23" spans="1:4" ht="15.95" customHeight="1" x14ac:dyDescent="0.25">
      <c r="A23" s="105" t="s">
        <v>132</v>
      </c>
      <c r="B23" s="315">
        <f>IFERROR('3b. Økonomirapport 221'!$T$9,0)</f>
        <v>-360367</v>
      </c>
      <c r="C23" s="103" t="s">
        <v>124</v>
      </c>
      <c r="D23" s="104"/>
    </row>
    <row r="24" spans="1:4" ht="15.95" customHeight="1" x14ac:dyDescent="0.25">
      <c r="A24" s="101" t="s">
        <v>125</v>
      </c>
      <c r="B24" s="315">
        <f>IFERROR('3b. Økonomirapport 221'!$T$10,0)</f>
        <v>-543566.13</v>
      </c>
      <c r="C24" s="103" t="s">
        <v>126</v>
      </c>
      <c r="D24" s="104"/>
    </row>
    <row r="25" spans="1:4" ht="15.95" customHeight="1" x14ac:dyDescent="0.25">
      <c r="A25" s="123" t="s">
        <v>133</v>
      </c>
      <c r="B25" s="316">
        <v>0</v>
      </c>
      <c r="C25" s="124" t="s">
        <v>134</v>
      </c>
      <c r="D25" s="125" t="s">
        <v>714</v>
      </c>
    </row>
    <row r="26" spans="1:4" ht="21.95" customHeight="1" x14ac:dyDescent="0.25">
      <c r="A26" s="121" t="s">
        <v>136</v>
      </c>
      <c r="B26" s="314">
        <f>SUM(B17:B25)</f>
        <v>7583682.7023800006</v>
      </c>
      <c r="C26" s="122"/>
      <c r="D26" s="122"/>
    </row>
    <row r="27" spans="1:4" ht="20.100000000000001" customHeight="1" x14ac:dyDescent="0.25">
      <c r="A27" s="333" t="s">
        <v>137</v>
      </c>
      <c r="B27" s="331"/>
      <c r="C27" s="331"/>
      <c r="D27" s="331"/>
    </row>
    <row r="28" spans="1:4" ht="15.95" customHeight="1" x14ac:dyDescent="0.25">
      <c r="A28" s="101" t="s">
        <v>138</v>
      </c>
      <c r="B28" s="317">
        <v>0</v>
      </c>
      <c r="C28" s="103"/>
      <c r="D28" s="106" t="s">
        <v>714</v>
      </c>
    </row>
    <row r="29" spans="1:4" ht="15.95" customHeight="1" x14ac:dyDescent="0.25">
      <c r="A29" s="101" t="s">
        <v>139</v>
      </c>
      <c r="B29" s="317">
        <v>0</v>
      </c>
      <c r="C29" s="103"/>
      <c r="D29" s="106" t="s">
        <v>714</v>
      </c>
    </row>
    <row r="30" spans="1:4" ht="15.95" customHeight="1" x14ac:dyDescent="0.25">
      <c r="A30" s="101" t="s">
        <v>140</v>
      </c>
      <c r="B30" s="317">
        <f>Forsikringer!M15</f>
        <v>158342</v>
      </c>
      <c r="C30" s="103"/>
      <c r="D30" s="104" t="s">
        <v>1210</v>
      </c>
    </row>
    <row r="31" spans="1:4" ht="15.95" customHeight="1" x14ac:dyDescent="0.25">
      <c r="A31" s="101" t="s">
        <v>141</v>
      </c>
      <c r="B31" s="317">
        <v>0</v>
      </c>
      <c r="C31" s="103"/>
      <c r="D31" s="106" t="s">
        <v>714</v>
      </c>
    </row>
    <row r="32" spans="1:4" ht="15.95" customHeight="1" x14ac:dyDescent="0.25">
      <c r="A32" s="105" t="s">
        <v>142</v>
      </c>
      <c r="B32" s="317">
        <v>0</v>
      </c>
      <c r="C32" s="103"/>
      <c r="D32" s="106" t="s">
        <v>714</v>
      </c>
    </row>
    <row r="33" spans="1:8" ht="15.95" customHeight="1" x14ac:dyDescent="0.25">
      <c r="A33" s="101" t="s">
        <v>1215</v>
      </c>
      <c r="B33" s="317">
        <f>'17000'!H9</f>
        <v>-238009</v>
      </c>
      <c r="C33" s="103"/>
      <c r="D33" s="104" t="s">
        <v>1209</v>
      </c>
    </row>
    <row r="34" spans="1:8" ht="15.95" customHeight="1" x14ac:dyDescent="0.25">
      <c r="A34" s="101" t="s">
        <v>1216</v>
      </c>
      <c r="B34" s="317">
        <f>-'17000'!H16</f>
        <v>-1529882</v>
      </c>
      <c r="C34" s="103"/>
      <c r="D34" s="104" t="s">
        <v>1209</v>
      </c>
    </row>
    <row r="35" spans="1:8" ht="15.95" customHeight="1" x14ac:dyDescent="0.25">
      <c r="A35" s="101" t="s">
        <v>1217</v>
      </c>
      <c r="B35" s="317">
        <f>-'17000'!H28-'17000'!H22</f>
        <v>-272800</v>
      </c>
      <c r="C35" s="103"/>
      <c r="D35" s="104" t="s">
        <v>1209</v>
      </c>
    </row>
    <row r="36" spans="1:8" ht="15.95" customHeight="1" x14ac:dyDescent="0.25">
      <c r="A36" s="101" t="s">
        <v>1218</v>
      </c>
      <c r="B36" s="316">
        <f>'17500'!H2</f>
        <v>-389191</v>
      </c>
      <c r="C36" s="124"/>
      <c r="D36" s="104" t="s">
        <v>1211</v>
      </c>
    </row>
    <row r="37" spans="1:8" ht="15.95" customHeight="1" x14ac:dyDescent="0.25">
      <c r="A37" s="101" t="s">
        <v>1219</v>
      </c>
      <c r="B37" s="316">
        <f>'17500'!H9+'17002'!H12</f>
        <v>-206762</v>
      </c>
      <c r="C37" s="124"/>
      <c r="D37" s="104" t="s">
        <v>1230</v>
      </c>
    </row>
    <row r="38" spans="1:8" ht="15.95" customHeight="1" x14ac:dyDescent="0.25">
      <c r="A38" s="310" t="s">
        <v>1206</v>
      </c>
      <c r="B38" s="316">
        <f>-Erasmus!I90</f>
        <v>-365641.07</v>
      </c>
      <c r="C38" s="124"/>
      <c r="D38" s="104" t="s">
        <v>1212</v>
      </c>
    </row>
    <row r="39" spans="1:8" ht="15.95" customHeight="1" x14ac:dyDescent="0.25">
      <c r="A39" s="310" t="s">
        <v>1232</v>
      </c>
      <c r="B39" s="316">
        <f>-'3a. Økonomirapport 201'!S17*0.141</f>
        <v>-52596.1443</v>
      </c>
      <c r="C39" s="124"/>
      <c r="D39" s="328"/>
    </row>
    <row r="40" spans="1:8" ht="21.95" customHeight="1" x14ac:dyDescent="0.25">
      <c r="A40" s="121" t="s">
        <v>143</v>
      </c>
      <c r="B40" s="314">
        <f>IFERROR(SUM(B28,B29,B30,B31,B32,B33,B34,B35,B36,B37,B38,B39),0)</f>
        <v>-2896539.2142999996</v>
      </c>
      <c r="C40" s="122"/>
      <c r="D40" s="122"/>
    </row>
    <row r="41" spans="1:8" ht="21.95" customHeight="1" x14ac:dyDescent="0.25">
      <c r="A41" s="126" t="s">
        <v>144</v>
      </c>
      <c r="B41" s="318">
        <f>IFERROR(B15+B26+B40,0)</f>
        <v>78813265.574049979</v>
      </c>
      <c r="C41" s="127"/>
      <c r="D41" s="127"/>
    </row>
    <row r="42" spans="1:8" ht="15.95" customHeight="1" x14ac:dyDescent="0.25">
      <c r="A42" s="135" t="s">
        <v>145</v>
      </c>
      <c r="B42" s="319">
        <f>IFERROR(B41*'0. Oppsett'!$C$12,0)</f>
        <v>3704223.4819803489</v>
      </c>
      <c r="C42" s="136">
        <f>'0. Oppsett'!$C$12</f>
        <v>4.7E-2</v>
      </c>
      <c r="D42" s="137"/>
    </row>
    <row r="43" spans="1:8" ht="21.95" customHeight="1" x14ac:dyDescent="0.25">
      <c r="A43" s="128" t="s">
        <v>146</v>
      </c>
      <c r="B43" s="320">
        <f>IFERROR(B41+B42,0)</f>
        <v>82517489.056030333</v>
      </c>
      <c r="C43" s="129"/>
      <c r="D43" s="130"/>
      <c r="F43" s="224"/>
      <c r="G43" s="44"/>
    </row>
    <row r="44" spans="1:8" ht="21.95" customHeight="1" x14ac:dyDescent="0.25">
      <c r="A44" s="118" t="s">
        <v>740</v>
      </c>
      <c r="B44" s="321">
        <f>$B$43*(1+'0. Oppsett'!$C$13)</f>
        <v>85405601.172991395</v>
      </c>
      <c r="C44" s="120" t="s">
        <v>742</v>
      </c>
      <c r="D44" s="113"/>
      <c r="E44" s="224"/>
      <c r="F44" s="44"/>
    </row>
    <row r="45" spans="1:8" ht="21.95" customHeight="1" x14ac:dyDescent="0.25">
      <c r="A45" s="118" t="s">
        <v>741</v>
      </c>
      <c r="B45" s="321">
        <f>$B$44*(1+'0. Oppsett'!$C$14)</f>
        <v>88309391.612873107</v>
      </c>
      <c r="C45" s="120" t="s">
        <v>743</v>
      </c>
      <c r="D45" s="113"/>
      <c r="E45" s="224"/>
      <c r="F45" s="44"/>
    </row>
    <row r="46" spans="1:8" ht="20.100000000000001" customHeight="1" x14ac:dyDescent="0.25"/>
    <row r="47" spans="1:8" ht="15.95" customHeight="1" x14ac:dyDescent="0.25">
      <c r="A47" s="343" t="s">
        <v>147</v>
      </c>
      <c r="B47" s="331"/>
      <c r="C47" s="331"/>
      <c r="D47" s="331"/>
      <c r="F47" s="222"/>
    </row>
    <row r="48" spans="1:8" ht="15.95" customHeight="1" x14ac:dyDescent="0.25">
      <c r="A48" s="26" t="s">
        <v>735</v>
      </c>
      <c r="B48" s="322">
        <f>'Telling barn'!L46</f>
        <v>179.28888888888889</v>
      </c>
      <c r="C48" s="29" t="s">
        <v>1233</v>
      </c>
      <c r="D48" s="131"/>
      <c r="E48" s="222"/>
      <c r="G48" s="224"/>
      <c r="H48" s="287"/>
    </row>
    <row r="49" spans="1:8" x14ac:dyDescent="0.25">
      <c r="A49" s="26" t="s">
        <v>736</v>
      </c>
      <c r="B49" s="322">
        <f>'Telling barn'!L47</f>
        <v>269.80925925925925</v>
      </c>
      <c r="C49" s="29" t="s">
        <v>1233</v>
      </c>
      <c r="D49" s="131"/>
      <c r="E49" s="222"/>
      <c r="H49" s="287"/>
    </row>
    <row r="50" spans="1:8" ht="20.100000000000001" customHeight="1" x14ac:dyDescent="0.25">
      <c r="A50" s="29" t="s">
        <v>148</v>
      </c>
      <c r="B50" s="322">
        <f>IFERROR(B48*1.8+B49,0)</f>
        <v>592.52925925925933</v>
      </c>
      <c r="C50" s="131"/>
      <c r="D50" s="131"/>
      <c r="E50" s="222"/>
    </row>
    <row r="51" spans="1:8" ht="24" customHeight="1" x14ac:dyDescent="0.25">
      <c r="A51" s="29" t="s">
        <v>149</v>
      </c>
      <c r="B51" s="322">
        <f>IFERROR(B48*1.8/B50,0)</f>
        <v>0.54464820927736646</v>
      </c>
      <c r="C51" s="131"/>
      <c r="D51" s="131"/>
      <c r="E51" s="222"/>
    </row>
    <row r="52" spans="1:8" ht="24" customHeight="1" x14ac:dyDescent="0.25">
      <c r="A52" s="29" t="s">
        <v>150</v>
      </c>
      <c r="B52" s="322">
        <f>IFERROR(B49/B50,0)</f>
        <v>0.45535179072263343</v>
      </c>
      <c r="C52" s="131"/>
      <c r="D52" s="131"/>
      <c r="E52" s="222"/>
    </row>
    <row r="53" spans="1:8" ht="15.95" customHeight="1" x14ac:dyDescent="0.25"/>
    <row r="54" spans="1:8" ht="15.95" customHeight="1" x14ac:dyDescent="0.25">
      <c r="A54" s="343" t="s">
        <v>151</v>
      </c>
      <c r="B54" s="331"/>
      <c r="C54" s="331"/>
      <c r="D54" s="331"/>
    </row>
    <row r="55" spans="1:8" ht="15.95" customHeight="1" x14ac:dyDescent="0.25">
      <c r="A55" s="132" t="s">
        <v>712</v>
      </c>
      <c r="B55" s="323">
        <f>IFERROR(B48*('0. Oppsett'!$C$15),0)</f>
        <v>2366613.3333333335</v>
      </c>
      <c r="C55" s="133"/>
      <c r="D55" s="134"/>
      <c r="E55" s="224"/>
    </row>
    <row r="56" spans="1:8" x14ac:dyDescent="0.25">
      <c r="A56" s="132" t="s">
        <v>713</v>
      </c>
      <c r="B56" s="323">
        <f>IFERROR(B49*('0. Oppsett'!$C$15),0)</f>
        <v>3561482.222222222</v>
      </c>
      <c r="C56" s="133"/>
      <c r="D56" s="117"/>
      <c r="E56" s="224"/>
    </row>
    <row r="57" spans="1:8" x14ac:dyDescent="0.25">
      <c r="A57" s="132" t="s">
        <v>793</v>
      </c>
      <c r="B57" s="323">
        <f>('3a. Økonomirapport 201'!$S$11*-1)*(1+'0. Oppsett'!$C$13)*(1+'0. Oppsett'!$C$14)</f>
        <v>1852224.9320618999</v>
      </c>
      <c r="C57" s="133"/>
      <c r="D57" s="117"/>
    </row>
    <row r="58" spans="1:8" ht="20.100000000000001" customHeight="1" x14ac:dyDescent="0.25">
      <c r="A58" s="132" t="s">
        <v>707</v>
      </c>
      <c r="B58" s="323">
        <f>IFERROR(B45*B51,0)</f>
        <v>48097552.004325025</v>
      </c>
      <c r="C58" s="133"/>
      <c r="D58" s="117"/>
    </row>
    <row r="59" spans="1:8" ht="15.95" customHeight="1" x14ac:dyDescent="0.25">
      <c r="A59" s="132" t="s">
        <v>708</v>
      </c>
      <c r="B59" s="323">
        <f>IFERROR(B45*B52,0)</f>
        <v>40211839.608548075</v>
      </c>
      <c r="C59" s="133"/>
      <c r="D59" s="117"/>
    </row>
    <row r="60" spans="1:8" ht="15.95" customHeight="1" x14ac:dyDescent="0.25">
      <c r="F60" s="288"/>
    </row>
    <row r="61" spans="1:8" ht="15.95" customHeight="1" thickBot="1" x14ac:dyDescent="0.3">
      <c r="A61" s="30" t="s">
        <v>154</v>
      </c>
      <c r="B61" s="324">
        <f>IFERROR((($B$58-$B$55)+(-$B$57*($B$48/($B$48+$B$49))))/$B$48,0)</f>
        <v>250944.12719537021</v>
      </c>
      <c r="E61" s="224"/>
      <c r="F61" s="224"/>
    </row>
    <row r="62" spans="1:8" ht="15.95" customHeight="1" thickBot="1" x14ac:dyDescent="0.3">
      <c r="A62" s="30" t="s">
        <v>155</v>
      </c>
      <c r="B62" s="324">
        <f>IFERROR((($B$59-$B$56)+(-$B$57*($B$49/($B$48+$B$49))))/$B$49,0)</f>
        <v>131713.70576670134</v>
      </c>
      <c r="D62" s="224"/>
      <c r="E62" s="224"/>
      <c r="F62" s="224"/>
    </row>
    <row r="66" spans="2:2" x14ac:dyDescent="0.25">
      <c r="B66" s="329"/>
    </row>
    <row r="67" spans="2:2" x14ac:dyDescent="0.25">
      <c r="B67" s="329"/>
    </row>
    <row r="69" spans="2:2" x14ac:dyDescent="0.25">
      <c r="B69" s="329"/>
    </row>
    <row r="70" spans="2:2" x14ac:dyDescent="0.25">
      <c r="B70" s="329"/>
    </row>
  </sheetData>
  <mergeCells count="7">
    <mergeCell ref="A54:D54"/>
    <mergeCell ref="A2:D2"/>
    <mergeCell ref="A1:D1"/>
    <mergeCell ref="A16:D16"/>
    <mergeCell ref="A47:D47"/>
    <mergeCell ref="A4:D4"/>
    <mergeCell ref="A27:D27"/>
  </mergeCells>
  <pageMargins left="0.75" right="0.75" top="1" bottom="1" header="0.5" footer="0.5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345" t="s">
        <v>156</v>
      </c>
      <c r="B1" s="345"/>
      <c r="C1" s="345"/>
      <c r="D1" s="345"/>
      <c r="E1" s="345"/>
    </row>
    <row r="2" spans="1:5" ht="20.100000000000001" customHeight="1" x14ac:dyDescent="0.25">
      <c r="A2" s="145" t="s">
        <v>106</v>
      </c>
      <c r="B2" s="145"/>
      <c r="C2" s="145"/>
      <c r="D2" s="145"/>
      <c r="E2" s="145"/>
    </row>
    <row r="3" spans="1:5" ht="26.1" customHeight="1" x14ac:dyDescent="0.25">
      <c r="A3" s="25" t="s">
        <v>107</v>
      </c>
      <c r="B3" s="25" t="s">
        <v>157</v>
      </c>
      <c r="C3" s="25" t="s">
        <v>158</v>
      </c>
      <c r="D3" s="25" t="s">
        <v>109</v>
      </c>
      <c r="E3" s="25" t="s">
        <v>100</v>
      </c>
    </row>
    <row r="4" spans="1:5" ht="20.100000000000001" customHeight="1" x14ac:dyDescent="0.25">
      <c r="A4" s="341" t="s">
        <v>110</v>
      </c>
      <c r="B4" s="341"/>
      <c r="C4" s="341"/>
      <c r="D4" s="341"/>
      <c r="E4" s="341"/>
    </row>
    <row r="5" spans="1:5" ht="15.95" customHeight="1" x14ac:dyDescent="0.25">
      <c r="A5" s="101" t="s">
        <v>111</v>
      </c>
      <c r="B5" s="165">
        <f>IFERROR('3a. Økonomirapport 201'!$V$4,0)</f>
        <v>0</v>
      </c>
      <c r="C5" s="165">
        <f>IFERROR('3a. Økonomirapport 201'!$W$4,0)</f>
        <v>0</v>
      </c>
      <c r="D5" s="103" t="s">
        <v>112</v>
      </c>
      <c r="E5" s="104"/>
    </row>
    <row r="6" spans="1:5" ht="15.95" customHeight="1" x14ac:dyDescent="0.25">
      <c r="A6" s="101" t="s">
        <v>113</v>
      </c>
      <c r="B6" s="165">
        <f>IFERROR('3a. Økonomirapport 201'!$V$5,0)</f>
        <v>0</v>
      </c>
      <c r="C6" s="165">
        <f>IFERROR('3a. Økonomirapport 201'!$W$5,0)</f>
        <v>0</v>
      </c>
      <c r="D6" s="103" t="s">
        <v>114</v>
      </c>
      <c r="E6" s="104" t="s">
        <v>115</v>
      </c>
    </row>
    <row r="7" spans="1:5" ht="15.95" customHeight="1" x14ac:dyDescent="0.25">
      <c r="A7" s="101" t="s">
        <v>116</v>
      </c>
      <c r="B7" s="165">
        <f>IFERROR('3a. Økonomirapport 201'!$V$6,0)</f>
        <v>0</v>
      </c>
      <c r="C7" s="165">
        <f>IFERROR('3a. Økonomirapport 201'!$W$6,0)</f>
        <v>0</v>
      </c>
      <c r="D7" s="103" t="s">
        <v>117</v>
      </c>
      <c r="E7" s="104"/>
    </row>
    <row r="8" spans="1:5" ht="15.95" customHeight="1" x14ac:dyDescent="0.25">
      <c r="A8" s="101" t="s">
        <v>118</v>
      </c>
      <c r="B8" s="165">
        <f>IFERROR(-(B6*(1+'0. Oppsett'!$C$11)),0)</f>
        <v>0</v>
      </c>
      <c r="C8" s="165">
        <f>IFERROR(-(C6*(1+'0. Oppsett'!$C$11)),0)</f>
        <v>0</v>
      </c>
      <c r="D8" s="144"/>
      <c r="E8" s="104"/>
    </row>
    <row r="9" spans="1:5" ht="15.95" customHeight="1" x14ac:dyDescent="0.25">
      <c r="A9" s="101" t="s">
        <v>119</v>
      </c>
      <c r="B9" s="165">
        <f>IFERROR('3a. Økonomirapport 201'!$V$7,0)</f>
        <v>0</v>
      </c>
      <c r="C9" s="165">
        <f>IFERROR('3a. Økonomirapport 201'!$W$7,0)</f>
        <v>0</v>
      </c>
      <c r="D9" s="103" t="s">
        <v>120</v>
      </c>
      <c r="E9" s="104"/>
    </row>
    <row r="10" spans="1:5" ht="15.95" customHeight="1" x14ac:dyDescent="0.25">
      <c r="A10" s="101" t="s">
        <v>121</v>
      </c>
      <c r="B10" s="165">
        <f>IFERROR('3a. Økonomirapport 201'!$V$8,0)</f>
        <v>0</v>
      </c>
      <c r="C10" s="165">
        <f>IFERROR('3a. Økonomirapport 201'!$W$8,0)</f>
        <v>0</v>
      </c>
      <c r="D10" s="103" t="s">
        <v>122</v>
      </c>
      <c r="E10" s="104"/>
    </row>
    <row r="11" spans="1:5" ht="15.95" customHeight="1" x14ac:dyDescent="0.25">
      <c r="A11" s="101" t="s">
        <v>123</v>
      </c>
      <c r="B11" s="165">
        <f>IFERROR('3a. Økonomirapport 201'!$V$9,0)</f>
        <v>0</v>
      </c>
      <c r="C11" s="165">
        <f>IFERROR('3a. Økonomirapport 201'!$W$9,0)</f>
        <v>0</v>
      </c>
      <c r="D11" s="103" t="s">
        <v>124</v>
      </c>
      <c r="E11" s="104"/>
    </row>
    <row r="12" spans="1:5" ht="15.95" customHeight="1" x14ac:dyDescent="0.25">
      <c r="A12" s="101" t="s">
        <v>125</v>
      </c>
      <c r="B12" s="165">
        <f>IFERROR('3a. Økonomirapport 201'!$V$10,0)</f>
        <v>0</v>
      </c>
      <c r="C12" s="165">
        <f>IFERROR('3a. Økonomirapport 201'!$W$10,0)</f>
        <v>0</v>
      </c>
      <c r="D12" s="103" t="s">
        <v>126</v>
      </c>
      <c r="E12" s="104"/>
    </row>
    <row r="13" spans="1:5" ht="15.95" customHeight="1" x14ac:dyDescent="0.25">
      <c r="A13" s="101" t="s">
        <v>127</v>
      </c>
      <c r="B13" s="165">
        <f>IFERROR('3a. Økonomirapport 201'!$V$12,0)</f>
        <v>0</v>
      </c>
      <c r="C13" s="165">
        <f>IFERROR('3a. Økonomirapport 201'!$W$12,0)</f>
        <v>0</v>
      </c>
      <c r="D13" s="103" t="s">
        <v>128</v>
      </c>
      <c r="E13" s="104"/>
    </row>
    <row r="14" spans="1:5" ht="21.95" customHeight="1" thickBot="1" x14ac:dyDescent="0.3">
      <c r="A14" s="26" t="s">
        <v>129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333" t="s">
        <v>130</v>
      </c>
      <c r="B15" s="333"/>
      <c r="C15" s="333"/>
      <c r="D15" s="333"/>
      <c r="E15" s="333"/>
    </row>
    <row r="16" spans="1:5" ht="15.95" customHeight="1" x14ac:dyDescent="0.25">
      <c r="A16" s="102" t="s">
        <v>131</v>
      </c>
      <c r="B16" s="18">
        <f>IFERROR('3b. Økonomirapport 221'!$W$4,0)</f>
        <v>0</v>
      </c>
      <c r="C16" s="18">
        <f>IFERROR('3b. Økonomirapport 221'!$X$4,0)</f>
        <v>0</v>
      </c>
      <c r="D16" s="103" t="s">
        <v>112</v>
      </c>
      <c r="E16" s="104"/>
    </row>
    <row r="17" spans="1:5" ht="15.95" customHeight="1" x14ac:dyDescent="0.25">
      <c r="A17" s="101" t="s">
        <v>113</v>
      </c>
      <c r="B17" s="18">
        <f>IFERROR('3b. Økonomirapport 221'!W5,0)</f>
        <v>0</v>
      </c>
      <c r="C17" s="18">
        <f>IFERROR('3b. Økonomirapport 221'!X5,0)</f>
        <v>0</v>
      </c>
      <c r="D17" s="103" t="s">
        <v>114</v>
      </c>
      <c r="E17" s="104"/>
    </row>
    <row r="18" spans="1:5" ht="15.95" customHeight="1" x14ac:dyDescent="0.25">
      <c r="A18" s="101" t="s">
        <v>116</v>
      </c>
      <c r="B18" s="18">
        <f>IFERROR('3b. Økonomirapport 221'!W6,0)</f>
        <v>0</v>
      </c>
      <c r="C18" s="18">
        <f>IFERROR('3b. Økonomirapport 221'!X6,0)</f>
        <v>0</v>
      </c>
      <c r="D18" s="103" t="s">
        <v>117</v>
      </c>
      <c r="E18" s="104"/>
    </row>
    <row r="19" spans="1:5" ht="15.95" customHeight="1" x14ac:dyDescent="0.25">
      <c r="A19" s="101" t="s">
        <v>118</v>
      </c>
      <c r="B19" s="18">
        <f>IFERROR(-(B17*(1+'0. Oppsett'!$C$11)),0)</f>
        <v>0</v>
      </c>
      <c r="C19" s="18">
        <f>IFERROR(-(C17*(1+'0. Oppsett'!$C$11)),0)</f>
        <v>0</v>
      </c>
      <c r="D19" s="103"/>
      <c r="E19" s="104"/>
    </row>
    <row r="20" spans="1:5" ht="15.95" customHeight="1" x14ac:dyDescent="0.25">
      <c r="A20" s="101" t="s">
        <v>119</v>
      </c>
      <c r="B20" s="18">
        <f>IFERROR('3b. Økonomirapport 221'!W7,0)</f>
        <v>0</v>
      </c>
      <c r="C20" s="18">
        <f>IFERROR('3b. Økonomirapport 221'!X7,0)</f>
        <v>0</v>
      </c>
      <c r="D20" s="103" t="s">
        <v>120</v>
      </c>
      <c r="E20" s="104"/>
    </row>
    <row r="21" spans="1:5" ht="15.95" customHeight="1" x14ac:dyDescent="0.25">
      <c r="A21" s="101" t="s">
        <v>121</v>
      </c>
      <c r="B21" s="18">
        <f>IFERROR('3b. Økonomirapport 221'!W8,0)</f>
        <v>0</v>
      </c>
      <c r="C21" s="18">
        <f>IFERROR('3b. Økonomirapport 221'!X8,0)</f>
        <v>0</v>
      </c>
      <c r="D21" s="103" t="s">
        <v>122</v>
      </c>
      <c r="E21" s="104"/>
    </row>
    <row r="22" spans="1:5" ht="15.95" customHeight="1" x14ac:dyDescent="0.25">
      <c r="A22" s="101" t="s">
        <v>123</v>
      </c>
      <c r="B22" s="18">
        <f>IFERROR('3b. Økonomirapport 221'!W9,0)</f>
        <v>0</v>
      </c>
      <c r="C22" s="18">
        <f>IFERROR('3b. Økonomirapport 221'!X9,0)</f>
        <v>0</v>
      </c>
      <c r="D22" s="103" t="s">
        <v>124</v>
      </c>
      <c r="E22" s="104"/>
    </row>
    <row r="23" spans="1:5" ht="15.95" customHeight="1" x14ac:dyDescent="0.25">
      <c r="A23" s="101" t="s">
        <v>125</v>
      </c>
      <c r="B23" s="18">
        <f>IFERROR('3b. Økonomirapport 221'!W10,0)</f>
        <v>0</v>
      </c>
      <c r="C23" s="18">
        <f>IFERROR('3b. Økonomirapport 221'!X10,0)</f>
        <v>0</v>
      </c>
      <c r="D23" s="103" t="s">
        <v>126</v>
      </c>
      <c r="E23" s="104"/>
    </row>
    <row r="24" spans="1:5" ht="15.95" customHeight="1" x14ac:dyDescent="0.25">
      <c r="A24" s="101" t="s">
        <v>133</v>
      </c>
      <c r="B24" s="21">
        <v>0</v>
      </c>
      <c r="C24" s="21">
        <v>0</v>
      </c>
      <c r="D24" s="103" t="s">
        <v>134</v>
      </c>
      <c r="E24" s="104" t="s">
        <v>135</v>
      </c>
    </row>
    <row r="25" spans="1:5" ht="21.95" customHeight="1" thickBot="1" x14ac:dyDescent="0.3">
      <c r="A25" s="26" t="s">
        <v>136</v>
      </c>
      <c r="B25" s="27">
        <f>SUM(B16:B24)</f>
        <v>0</v>
      </c>
      <c r="C25" s="27">
        <f>SUM(C16:C24)</f>
        <v>0</v>
      </c>
      <c r="D25" s="28"/>
      <c r="E25" s="28"/>
    </row>
    <row r="26" spans="1:5" ht="20.100000000000001" customHeight="1" x14ac:dyDescent="0.25">
      <c r="A26" s="333" t="s">
        <v>137</v>
      </c>
      <c r="B26" s="333"/>
      <c r="C26" s="333"/>
      <c r="D26" s="333"/>
      <c r="E26" s="333"/>
    </row>
    <row r="27" spans="1:5" ht="15.95" customHeight="1" x14ac:dyDescent="0.25">
      <c r="A27" s="101" t="s">
        <v>138</v>
      </c>
      <c r="B27" s="21">
        <v>0</v>
      </c>
      <c r="C27" s="21">
        <v>0</v>
      </c>
      <c r="D27" s="103"/>
      <c r="E27" s="104" t="s">
        <v>135</v>
      </c>
    </row>
    <row r="28" spans="1:5" ht="15.95" customHeight="1" x14ac:dyDescent="0.25">
      <c r="A28" s="101" t="s">
        <v>139</v>
      </c>
      <c r="B28" s="21">
        <v>0</v>
      </c>
      <c r="C28" s="21">
        <v>0</v>
      </c>
      <c r="D28" s="103"/>
      <c r="E28" s="104" t="s">
        <v>135</v>
      </c>
    </row>
    <row r="29" spans="1:5" ht="15.95" customHeight="1" x14ac:dyDescent="0.25">
      <c r="A29" s="101" t="s">
        <v>140</v>
      </c>
      <c r="B29" s="21">
        <v>0</v>
      </c>
      <c r="C29" s="21">
        <v>0</v>
      </c>
      <c r="D29" s="103"/>
      <c r="E29" s="104" t="s">
        <v>135</v>
      </c>
    </row>
    <row r="30" spans="1:5" ht="15.95" customHeight="1" x14ac:dyDescent="0.25">
      <c r="A30" s="101" t="s">
        <v>141</v>
      </c>
      <c r="B30" s="21">
        <v>0</v>
      </c>
      <c r="C30" s="21">
        <v>0</v>
      </c>
      <c r="D30" s="103"/>
      <c r="E30" s="104" t="s">
        <v>135</v>
      </c>
    </row>
    <row r="31" spans="1:5" ht="15.95" customHeight="1" x14ac:dyDescent="0.25">
      <c r="A31" s="101" t="s">
        <v>159</v>
      </c>
      <c r="B31" s="21">
        <v>0</v>
      </c>
      <c r="C31" s="21">
        <v>0</v>
      </c>
      <c r="D31" s="103"/>
      <c r="E31" s="104" t="s">
        <v>135</v>
      </c>
    </row>
    <row r="32" spans="1:5" ht="15.95" customHeight="1" x14ac:dyDescent="0.25">
      <c r="A32" s="101" t="s">
        <v>160</v>
      </c>
      <c r="B32" s="21">
        <v>0</v>
      </c>
      <c r="C32" s="21">
        <v>0</v>
      </c>
      <c r="D32" s="103"/>
      <c r="E32" s="104" t="s">
        <v>135</v>
      </c>
    </row>
    <row r="33" spans="1:5" ht="21.95" customHeight="1" thickBot="1" x14ac:dyDescent="0.3">
      <c r="A33" s="108" t="s">
        <v>143</v>
      </c>
      <c r="B33" s="109">
        <f>IFERROR(SUM(B27,B28,B29,B30,B31,B32),0)</f>
        <v>0</v>
      </c>
      <c r="C33" s="143"/>
      <c r="D33" s="110"/>
      <c r="E33" s="110"/>
    </row>
    <row r="34" spans="1:5" ht="21.95" customHeight="1" x14ac:dyDescent="0.25">
      <c r="A34" s="111" t="s">
        <v>144</v>
      </c>
      <c r="B34" s="112">
        <f>IFERROR(B14+B25+B33,0)</f>
        <v>0</v>
      </c>
      <c r="C34" s="112">
        <f>IFERROR(C14+C25+C33,0)</f>
        <v>0</v>
      </c>
      <c r="D34" s="113"/>
      <c r="E34" s="113"/>
    </row>
    <row r="35" spans="1:5" ht="15.95" customHeight="1" x14ac:dyDescent="0.25">
      <c r="A35" s="114" t="s">
        <v>145</v>
      </c>
      <c r="B35" s="115">
        <f>IFERROR(B34*'0. Oppsett'!$C$12,0)</f>
        <v>0</v>
      </c>
      <c r="C35" s="115">
        <f>IFERROR(C34*'0. Oppsett'!$C$12,0)</f>
        <v>0</v>
      </c>
      <c r="D35" s="116">
        <f>'0. Oppsett'!$C$12</f>
        <v>4.7E-2</v>
      </c>
      <c r="E35" s="113"/>
    </row>
    <row r="36" spans="1:5" ht="21.95" customHeight="1" x14ac:dyDescent="0.25">
      <c r="A36" s="111" t="s">
        <v>146</v>
      </c>
      <c r="B36" s="112">
        <f>IFERROR(B34+B35,0)</f>
        <v>0</v>
      </c>
      <c r="C36" s="112">
        <f>IFERROR(C34+C35,0)</f>
        <v>0</v>
      </c>
      <c r="D36" s="113"/>
      <c r="E36" s="113"/>
    </row>
    <row r="37" spans="1:5" ht="21.95" customHeight="1" x14ac:dyDescent="0.25">
      <c r="A37" s="118" t="s">
        <v>740</v>
      </c>
      <c r="B37" s="119">
        <f>$B$36*(1+'0. Oppsett'!$C$13)</f>
        <v>0</v>
      </c>
      <c r="C37" s="119">
        <f>$C$36*(1+'0. Oppsett'!$C$13)</f>
        <v>0</v>
      </c>
      <c r="D37" s="120" t="s">
        <v>742</v>
      </c>
      <c r="E37" s="113"/>
    </row>
    <row r="38" spans="1:5" ht="21.95" customHeight="1" x14ac:dyDescent="0.25">
      <c r="A38" s="118" t="s">
        <v>741</v>
      </c>
      <c r="B38" s="119">
        <f>$B$37*(1+'0. Oppsett'!$C$14)</f>
        <v>0</v>
      </c>
      <c r="C38" s="119">
        <f>$C$37*(1+'0. Oppsett'!$C$14)</f>
        <v>0</v>
      </c>
      <c r="D38" s="120" t="s">
        <v>743</v>
      </c>
      <c r="E38" s="113"/>
    </row>
    <row r="39" spans="1:5" ht="20.100000000000001" customHeight="1" x14ac:dyDescent="0.25"/>
    <row r="40" spans="1:5" ht="15.95" customHeight="1" x14ac:dyDescent="0.25">
      <c r="A40" s="343" t="s">
        <v>161</v>
      </c>
      <c r="B40" s="343"/>
      <c r="C40" s="343"/>
      <c r="D40" s="343"/>
      <c r="E40" s="343"/>
    </row>
    <row r="41" spans="1:5" ht="15.95" customHeight="1" x14ac:dyDescent="0.25">
      <c r="A41" s="108" t="s">
        <v>735</v>
      </c>
      <c r="B41" s="21"/>
      <c r="C41" s="21"/>
      <c r="D41" s="133" t="s">
        <v>759</v>
      </c>
      <c r="E41" s="113" t="s">
        <v>715</v>
      </c>
    </row>
    <row r="42" spans="1:5" x14ac:dyDescent="0.25">
      <c r="A42" s="108" t="s">
        <v>736</v>
      </c>
      <c r="B42" s="21"/>
      <c r="C42" s="21"/>
      <c r="D42" s="113"/>
      <c r="E42" s="113" t="s">
        <v>715</v>
      </c>
    </row>
    <row r="43" spans="1:5" ht="20.100000000000001" customHeight="1" x14ac:dyDescent="0.25">
      <c r="A43" s="114" t="s">
        <v>148</v>
      </c>
      <c r="B43" s="141">
        <f>IFERROR(B41*1.8+B42,0)</f>
        <v>0</v>
      </c>
      <c r="C43" s="141">
        <f>IFERROR(C41*1.8+C42,0)</f>
        <v>0</v>
      </c>
      <c r="D43" s="113"/>
      <c r="E43" s="113"/>
    </row>
    <row r="44" spans="1:5" ht="24" customHeight="1" x14ac:dyDescent="0.25">
      <c r="A44" s="114" t="s">
        <v>149</v>
      </c>
      <c r="B44" s="142">
        <f>IFERROR(B41*1.8/B43,0)</f>
        <v>0</v>
      </c>
      <c r="C44" s="142">
        <f>IFERROR(C41*1.8/C43,0)</f>
        <v>0</v>
      </c>
      <c r="D44" s="113"/>
      <c r="E44" s="113"/>
    </row>
    <row r="45" spans="1:5" ht="24" customHeight="1" x14ac:dyDescent="0.25">
      <c r="A45" s="114" t="s">
        <v>150</v>
      </c>
      <c r="B45" s="142">
        <f>IFERROR(B42/B43,0)</f>
        <v>0</v>
      </c>
      <c r="C45" s="142">
        <f>IFERROR(C42/C43,0)</f>
        <v>0</v>
      </c>
      <c r="D45" s="113"/>
      <c r="E45" s="113"/>
    </row>
    <row r="46" spans="1:5" ht="15.95" customHeight="1" x14ac:dyDescent="0.25"/>
    <row r="47" spans="1:5" ht="15.95" customHeight="1" x14ac:dyDescent="0.25">
      <c r="A47" s="346" t="s">
        <v>716</v>
      </c>
      <c r="B47" s="343"/>
      <c r="C47" s="343"/>
      <c r="D47" s="343"/>
      <c r="E47" s="343"/>
    </row>
    <row r="48" spans="1:5" ht="20.100000000000001" customHeight="1" x14ac:dyDescent="0.25">
      <c r="A48" s="132" t="s">
        <v>152</v>
      </c>
      <c r="B48" s="115">
        <f>IFERROR(B38*B44,0)</f>
        <v>0</v>
      </c>
      <c r="C48" s="115">
        <f>IFERROR(C38*C44,0)</f>
        <v>0</v>
      </c>
      <c r="D48" s="133"/>
      <c r="E48" s="117"/>
    </row>
    <row r="49" spans="1:5" ht="15.95" customHeight="1" x14ac:dyDescent="0.25">
      <c r="A49" s="132" t="s">
        <v>153</v>
      </c>
      <c r="B49" s="115">
        <f>IFERROR(B38*B45,0)</f>
        <v>0</v>
      </c>
      <c r="C49" s="115">
        <f>IFERROR(C38*C45,0)</f>
        <v>0</v>
      </c>
      <c r="D49" s="133"/>
      <c r="E49" s="117"/>
    </row>
    <row r="50" spans="1:5" ht="15.95" customHeight="1" x14ac:dyDescent="0.25">
      <c r="A50" s="138"/>
      <c r="B50" s="139"/>
      <c r="C50" s="139"/>
      <c r="D50" s="140"/>
      <c r="E50" s="120"/>
    </row>
    <row r="51" spans="1:5" ht="15.95" customHeight="1" x14ac:dyDescent="0.25">
      <c r="A51" s="138"/>
      <c r="B51" s="139"/>
      <c r="C51" s="139"/>
      <c r="D51" s="140"/>
      <c r="E51" s="120"/>
    </row>
    <row r="52" spans="1:5" ht="15.95" customHeight="1" x14ac:dyDescent="0.25">
      <c r="B52" t="s">
        <v>162</v>
      </c>
      <c r="C52" t="s">
        <v>162</v>
      </c>
    </row>
    <row r="53" spans="1:5" ht="15.95" customHeight="1" thickBot="1" x14ac:dyDescent="0.3">
      <c r="A53" s="30" t="s">
        <v>163</v>
      </c>
      <c r="B53" s="31">
        <f>IFERROR((B48)/B41,0)</f>
        <v>0</v>
      </c>
      <c r="C53" s="31">
        <f>IFERROR((C48)/C41,0)</f>
        <v>0</v>
      </c>
    </row>
    <row r="54" spans="1:5" ht="15.95" customHeight="1" thickBot="1" x14ac:dyDescent="0.3">
      <c r="A54" s="30" t="s">
        <v>164</v>
      </c>
      <c r="B54" s="31">
        <f>IFERROR((B49)/B42,0)</f>
        <v>0</v>
      </c>
      <c r="C54" s="31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21"/>
  <sheetViews>
    <sheetView workbookViewId="0">
      <selection activeCell="L17" sqref="L17"/>
    </sheetView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59" t="s">
        <v>50</v>
      </c>
      <c r="B1" s="59"/>
      <c r="C1" s="59"/>
      <c r="D1" s="59"/>
      <c r="E1" s="59"/>
      <c r="F1" s="59"/>
      <c r="G1" s="59"/>
      <c r="H1" s="59"/>
      <c r="I1" s="59"/>
    </row>
    <row r="2" spans="1:14" x14ac:dyDescent="0.25">
      <c r="A2" s="347" t="s">
        <v>702</v>
      </c>
      <c r="B2" s="348"/>
      <c r="C2" s="348"/>
      <c r="D2" s="348"/>
      <c r="E2" s="348"/>
      <c r="F2" s="348"/>
      <c r="G2" s="348"/>
      <c r="H2" s="348"/>
      <c r="I2" s="348"/>
    </row>
    <row r="3" spans="1:14" ht="21" customHeight="1" x14ac:dyDescent="0.25">
      <c r="A3" s="349" t="s">
        <v>51</v>
      </c>
      <c r="B3" s="331"/>
      <c r="C3" s="331"/>
      <c r="D3" s="168"/>
      <c r="E3" s="350" t="s">
        <v>52</v>
      </c>
      <c r="F3" s="351"/>
      <c r="G3" s="351"/>
      <c r="H3" s="351"/>
      <c r="I3" s="352"/>
      <c r="K3" s="177" t="s">
        <v>764</v>
      </c>
      <c r="L3" s="177"/>
      <c r="M3" s="177">
        <f>MAXA('1.B BASIL-resultatregnskap'!$A$3:$A$400)</f>
        <v>0</v>
      </c>
      <c r="N3" t="s">
        <v>770</v>
      </c>
    </row>
    <row r="4" spans="1:14" ht="90" x14ac:dyDescent="0.25">
      <c r="A4" s="9" t="s">
        <v>47</v>
      </c>
      <c r="B4" s="9" t="s">
        <v>45</v>
      </c>
      <c r="C4" s="9" t="s">
        <v>48</v>
      </c>
      <c r="D4" s="9" t="s">
        <v>763</v>
      </c>
      <c r="E4" s="5" t="s">
        <v>53</v>
      </c>
      <c r="F4" s="5" t="s">
        <v>766</v>
      </c>
      <c r="G4" s="5" t="s">
        <v>54</v>
      </c>
      <c r="H4" s="5" t="s">
        <v>747</v>
      </c>
      <c r="I4" s="5" t="s">
        <v>746</v>
      </c>
    </row>
    <row r="5" spans="1:14" x14ac:dyDescent="0.25">
      <c r="A5" s="146" cm="1">
        <f t="array" ref="A5">_xlfn.SEQUENCE(COUNTA(_xlfn.ANCHORARRAY(B5)),1,1,1)</f>
        <v>1</v>
      </c>
      <c r="B5" s="147" t="e" cm="1">
        <f t="array" ref="B5">_xlfn.UNIQUE(_xlfn._TRO_TRAILING('1.B BASIL-resultatregnskap'!C3:C200))</f>
        <v>#REF!</v>
      </c>
      <c r="C5" s="148" t="e" cm="1">
        <f t="array" ref="C5">_xlfn.UNIQUE(_xlfn._TRO_TRAILING('1.B BASIL-resultatregnskap'!B3:B200))</f>
        <v>#REF!</v>
      </c>
      <c r="D5" s="148" t="str" cm="1">
        <f t="array" ref="D5">IFERROR(_xlfn.XLOOKUP(CLEAN(TRIM(_xlfn.ANCHORARRAY($C5))),CLEAN(TRIM(factPensjon[Virksomhetsnr.])),factPensjon[Forpliktelser]),"")</f>
        <v/>
      </c>
      <c r="E5" s="19" t="s">
        <v>786</v>
      </c>
      <c r="F5" s="149">
        <f>IFERROR(IF(E5="A",'0. Oppsett'!$C$23,IF(E5="B",'0. Oppsett'!$C$24,IF(E5="C",'0. Oppsett'!$C$25,""))),"")</f>
        <v>0.11</v>
      </c>
      <c r="G5" s="150" cm="1">
        <f t="array" ref="G5">SUMIFS(BasilRadata[8E. Oppgi antall årsverk barnehagen har pensjonsforpliktelser for:],'1. BASIL-rådata'!$I$3:$I$34,_xlfn.ANCHORARRAY('X. Satser pensjonstilskudd'!$C5),BasilRadata[År],'0. Oppsett'!$C$9)</f>
        <v>0</v>
      </c>
      <c r="H5" s="151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52" t="e">
        <f>IF(OR(E5="",H5="",NOT(AND(ISNUMBER(F5),ISNUMBER(H5)))),"",H5*F5*(1+'0. Oppsett'!$C$11))</f>
        <v>#REF!</v>
      </c>
    </row>
    <row r="6" spans="1:14" x14ac:dyDescent="0.25">
      <c r="A6" s="146"/>
      <c r="B6" s="102"/>
      <c r="C6" s="148"/>
      <c r="D6" s="147"/>
      <c r="E6" s="19" t="s">
        <v>787</v>
      </c>
      <c r="F6" s="149">
        <f>IFERROR(IF(E6="A",'0. Oppsett'!$C$23,IF(E6="B",'0. Oppsett'!$C$24,IF(E6="C",'0. Oppsett'!$C$25,""))),"")</f>
        <v>0.08</v>
      </c>
      <c r="G6" s="150"/>
      <c r="H6" s="151"/>
      <c r="I6" s="152" t="str">
        <f>IF(OR(E6="",H6="",NOT(AND(ISNUMBER(F6),ISNUMBER(H6)))),"",H6*F6*(1+'0. Oppsett'!$C$11))</f>
        <v/>
      </c>
    </row>
    <row r="7" spans="1:14" x14ac:dyDescent="0.25">
      <c r="A7" s="146"/>
      <c r="B7" s="102"/>
      <c r="C7" s="148"/>
      <c r="D7" s="148"/>
      <c r="E7" s="19" t="s">
        <v>788</v>
      </c>
      <c r="F7" s="149">
        <f>IFERROR(IF(E7="A",'0. Oppsett'!$C$23,IF(E7="B",'0. Oppsett'!$C$24,IF(E7="C",'0. Oppsett'!$C$25,""))),"")</f>
        <v>0.05</v>
      </c>
      <c r="G7" s="150"/>
      <c r="H7" s="151"/>
      <c r="I7" s="152" t="str">
        <f>IF(OR(E7="",H7="",NOT(AND(ISNUMBER(F7),ISNUMBER(H7)))),"",H7*F7*(1+'0. Oppsett'!$C$11))</f>
        <v/>
      </c>
    </row>
    <row r="8" spans="1:14" x14ac:dyDescent="0.25">
      <c r="A8" s="146"/>
      <c r="B8" s="102"/>
      <c r="C8" s="148"/>
      <c r="D8" s="148"/>
      <c r="E8" s="19" t="s">
        <v>786</v>
      </c>
      <c r="F8" s="149">
        <f>IFERROR(IF(E8="A",'0. Oppsett'!$C$23,IF(E8="B",'0. Oppsett'!$C$24,IF(E8="C",'0. Oppsett'!$C$25,""))),"")</f>
        <v>0.11</v>
      </c>
      <c r="G8" s="150"/>
      <c r="H8" s="151"/>
      <c r="I8" s="152" t="str">
        <f>IF(OR(E8="",H8="",NOT(AND(ISNUMBER(F8),ISNUMBER(H8)))),"",H8*F8*(1+'0. Oppsett'!$C$11))</f>
        <v/>
      </c>
    </row>
    <row r="9" spans="1:14" x14ac:dyDescent="0.25">
      <c r="A9" s="146"/>
      <c r="B9" s="102"/>
      <c r="C9" s="148"/>
      <c r="D9" s="148"/>
      <c r="E9" s="19" t="s">
        <v>786</v>
      </c>
      <c r="F9" s="149">
        <f>IFERROR(IF(E9="A",'0. Oppsett'!$C$23,IF(E9="B",'0. Oppsett'!$C$24,IF(E9="C",'0. Oppsett'!$C$25,""))),"")</f>
        <v>0.11</v>
      </c>
      <c r="G9" s="150"/>
      <c r="H9" s="151"/>
      <c r="I9" s="152" t="str">
        <f>IF(OR(E9="",H9="",NOT(AND(ISNUMBER(F9),ISNUMBER(H9)))),"",H9*F9*(1+'0. Oppsett'!$C$11))</f>
        <v/>
      </c>
    </row>
    <row r="10" spans="1:14" x14ac:dyDescent="0.25">
      <c r="A10" s="146"/>
      <c r="B10" s="102"/>
      <c r="C10" s="148"/>
      <c r="D10" s="148"/>
      <c r="E10" s="19" t="s">
        <v>786</v>
      </c>
      <c r="F10" s="149">
        <f>IFERROR(IF(E10="A",'0. Oppsett'!$C$23,IF(E10="B",'0. Oppsett'!$C$24,IF(E10="C",'0. Oppsett'!$C$25,""))),"")</f>
        <v>0.11</v>
      </c>
      <c r="G10" s="150"/>
      <c r="H10" s="151"/>
      <c r="I10" s="152" t="str">
        <f>IF(OR(E10="",H10="",NOT(AND(ISNUMBER(F10),ISNUMBER(H10)))),"",H10*F10*(1+'0. Oppsett'!$C$11))</f>
        <v/>
      </c>
    </row>
    <row r="11" spans="1:14" x14ac:dyDescent="0.25">
      <c r="A11" s="146"/>
      <c r="B11" s="102"/>
      <c r="C11" s="148"/>
      <c r="D11" s="148"/>
      <c r="E11" s="19" t="s">
        <v>786</v>
      </c>
      <c r="F11" s="149">
        <f>IFERROR(IF(E11="A",'0. Oppsett'!$C$23,IF(E11="B",'0. Oppsett'!$C$24,IF(E11="C",'0. Oppsett'!$C$25,""))),"")</f>
        <v>0.11</v>
      </c>
      <c r="G11" s="150"/>
      <c r="H11" s="151"/>
      <c r="I11" s="152" t="str">
        <f>IF(OR(E11="",H11="",NOT(AND(ISNUMBER(F11),ISNUMBER(H11)))),"",H11*F11*(1+'0. Oppsett'!$C$11))</f>
        <v/>
      </c>
    </row>
    <row r="12" spans="1:14" x14ac:dyDescent="0.25">
      <c r="A12" s="146"/>
      <c r="B12" s="102"/>
      <c r="C12" s="148"/>
      <c r="D12" s="148"/>
      <c r="E12" s="19"/>
      <c r="F12" s="149" t="str">
        <f>IFERROR(IF(E12="A",'0. Oppsett'!$C$23,IF(E12="B",'0. Oppsett'!$C$24,IF(E12="C",'0. Oppsett'!$C$25,""))),"")</f>
        <v/>
      </c>
      <c r="G12" s="150"/>
      <c r="H12" s="151"/>
      <c r="I12" s="152" t="str">
        <f>IF(OR(E12="",H12="",NOT(AND(ISNUMBER(F12),ISNUMBER(H12)))),"",H12*F12*(1+'0. Oppsett'!$C$11))</f>
        <v/>
      </c>
    </row>
    <row r="13" spans="1:14" x14ac:dyDescent="0.25">
      <c r="A13" s="146"/>
      <c r="B13" s="102"/>
      <c r="C13" s="148"/>
      <c r="D13" s="148"/>
      <c r="E13" s="19"/>
      <c r="F13" s="149" t="str">
        <f>IFERROR(IF(E13="A",'0. Oppsett'!$C$23,IF(E13="B",'0. Oppsett'!$C$24,IF(E13="C",'0. Oppsett'!$C$25,""))),"")</f>
        <v/>
      </c>
      <c r="G13" s="150"/>
      <c r="H13" s="151"/>
      <c r="I13" s="152" t="str">
        <f>IF(OR(E13="",H13="",NOT(AND(ISNUMBER(F13),ISNUMBER(H13)))),"",H13*F13*(1+'0. Oppsett'!$C$11))</f>
        <v/>
      </c>
    </row>
    <row r="14" spans="1:14" x14ac:dyDescent="0.25">
      <c r="A14" s="146"/>
      <c r="B14" s="102"/>
      <c r="C14" s="148"/>
      <c r="D14" s="148"/>
      <c r="E14" s="19"/>
      <c r="F14" s="149" t="str">
        <f>IFERROR(IF(E14="A",'0. Oppsett'!$C$23,IF(E14="B",'0. Oppsett'!$C$24,IF(E14="C",'0. Oppsett'!$C$25,""))),"")</f>
        <v/>
      </c>
      <c r="G14" s="150"/>
      <c r="H14" s="151"/>
      <c r="I14" s="152" t="str">
        <f>IF(OR(E14="",H14="",NOT(AND(ISNUMBER(F14),ISNUMBER(H14)))),"",H14*F14*(1+'0. Oppsett'!$C$11))</f>
        <v/>
      </c>
    </row>
    <row r="15" spans="1:14" x14ac:dyDescent="0.25">
      <c r="A15" s="146"/>
      <c r="B15" s="102"/>
      <c r="C15" s="148"/>
      <c r="D15" s="148"/>
      <c r="E15" s="19"/>
      <c r="F15" s="149" t="str">
        <f>IFERROR(IF(E15="A",'0. Oppsett'!$C$23,IF(E15="B",'0. Oppsett'!$C$24,IF(E15="C",'0. Oppsett'!$C$25,""))),"")</f>
        <v/>
      </c>
      <c r="G15" s="150"/>
      <c r="H15" s="151"/>
      <c r="I15" s="152" t="str">
        <f>IF(OR(E15="",H15="",NOT(AND(ISNUMBER(F15),ISNUMBER(H15)))),"",H15*F15*(1+'0. Oppsett'!$C$11))</f>
        <v/>
      </c>
    </row>
    <row r="16" spans="1:14" x14ac:dyDescent="0.25">
      <c r="A16" s="146"/>
      <c r="B16" s="102"/>
      <c r="C16" s="148"/>
      <c r="D16" s="148"/>
      <c r="E16" s="19"/>
      <c r="F16" s="149" t="str">
        <f>IFERROR(IF(E16="A",'0. Oppsett'!$C$23,IF(E16="B",'0. Oppsett'!$C$24,IF(E16="C",'0. Oppsett'!$C$25,""))),"")</f>
        <v/>
      </c>
      <c r="G16" s="150"/>
      <c r="H16" s="151"/>
      <c r="I16" s="152" t="str">
        <f>IF(OR(E16="",H16="",NOT(AND(ISNUMBER(F16),ISNUMBER(H16)))),"",H16*F16*(1+'0. Oppsett'!$C$11))</f>
        <v/>
      </c>
    </row>
    <row r="17" spans="1:9" x14ac:dyDescent="0.25">
      <c r="A17" s="146"/>
      <c r="B17" s="102"/>
      <c r="C17" s="148"/>
      <c r="D17" s="148"/>
      <c r="E17" s="19"/>
      <c r="F17" s="149" t="str">
        <f>IFERROR(IF(E17="A",'0. Oppsett'!$C$23,IF(E17="B",'0. Oppsett'!$C$24,IF(E17="C",'0. Oppsett'!$C$25,""))),"")</f>
        <v/>
      </c>
      <c r="G17" s="150"/>
      <c r="H17" s="151"/>
      <c r="I17" s="152" t="str">
        <f>IF(OR(E17="",H17="",NOT(AND(ISNUMBER(F17),ISNUMBER(H17)))),"",H17*F17*(1+'0. Oppsett'!$C$11))</f>
        <v/>
      </c>
    </row>
    <row r="18" spans="1:9" x14ac:dyDescent="0.25">
      <c r="A18" s="146"/>
      <c r="B18" s="102"/>
      <c r="C18" s="148"/>
      <c r="D18" s="148"/>
      <c r="E18" s="19"/>
      <c r="F18" s="149" t="str">
        <f>IFERROR(IF(E18="A",'0. Oppsett'!$C$23,IF(E18="B",'0. Oppsett'!$C$24,IF(E18="C",'0. Oppsett'!$C$25,""))),"")</f>
        <v/>
      </c>
      <c r="G18" s="150"/>
      <c r="H18" s="151"/>
      <c r="I18" s="152" t="str">
        <f>IF(OR(E18="",H18="",NOT(AND(ISNUMBER(F18),ISNUMBER(H18)))),"",H18*F18*(1+'0. Oppsett'!$C$11))</f>
        <v/>
      </c>
    </row>
    <row r="19" spans="1:9" x14ac:dyDescent="0.25">
      <c r="A19" s="146"/>
      <c r="B19" s="102"/>
      <c r="C19" s="148"/>
      <c r="D19" s="148"/>
      <c r="E19" s="19"/>
      <c r="F19" s="149" t="str">
        <f>IFERROR(IF(E19="A",'0. Oppsett'!$C$23,IF(E19="B",'0. Oppsett'!$C$24,IF(E19="C",'0. Oppsett'!$C$25,""))),"")</f>
        <v/>
      </c>
      <c r="G19" s="150"/>
      <c r="H19" s="151"/>
      <c r="I19" s="152" t="str">
        <f>IF(OR(E19="",H19="",NOT(AND(ISNUMBER(F19),ISNUMBER(H19)))),"",H19*F19*(1+'0. Oppsett'!$C$11))</f>
        <v/>
      </c>
    </row>
    <row r="20" spans="1:9" x14ac:dyDescent="0.25">
      <c r="A20" s="146"/>
      <c r="B20" s="102"/>
      <c r="C20" s="148"/>
      <c r="D20" s="148"/>
      <c r="E20" s="19"/>
      <c r="F20" s="149" t="str">
        <f>IFERROR(IF(E20="A",'0. Oppsett'!$C$23,IF(E20="B",'0. Oppsett'!$C$24,IF(E20="C",'0. Oppsett'!$C$25,""))),"")</f>
        <v/>
      </c>
      <c r="G20" s="150"/>
      <c r="H20" s="151"/>
      <c r="I20" s="152" t="str">
        <f>IF(OR(E20="",H20="",NOT(AND(ISNUMBER(F20),ISNUMBER(H20)))),"",H20*F20*(1+'0. Oppsett'!$C$11))</f>
        <v/>
      </c>
    </row>
    <row r="21" spans="1:9" ht="15.75" thickBot="1" x14ac:dyDescent="0.3">
      <c r="A21" s="153"/>
      <c r="B21" s="23" t="e">
        <f>SUM(B5:B20)</f>
        <v>#REF!</v>
      </c>
      <c r="C21" s="23" t="e">
        <f>SUM(C5:C20)</f>
        <v>#REF!</v>
      </c>
      <c r="D21" s="23"/>
      <c r="E21" s="23">
        <f>SUM(E5:E20)</f>
        <v>0</v>
      </c>
      <c r="F21" s="23">
        <f>SUM(F5:F20)</f>
        <v>0.67999999999999994</v>
      </c>
      <c r="G21" s="23"/>
      <c r="H21" s="23" t="e">
        <f>SUM(H5:H20)</f>
        <v>#REF!</v>
      </c>
      <c r="I21" s="23" t="e">
        <f>SUM(I5:I20)/G21</f>
        <v>#REF!</v>
      </c>
    </row>
  </sheetData>
  <mergeCells count="3">
    <mergeCell ref="A2:I2"/>
    <mergeCell ref="A3:C3"/>
    <mergeCell ref="E3:I3"/>
  </mergeCells>
  <dataValidations disablePrompts="1" count="1">
    <dataValidation type="list" allowBlank="1" sqref="E5:E20" xr:uid="{3A882B8E-4413-41D6-AFFF-E55497A23C96}">
      <formula1>"A,B,C"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83834AE21FA4439647E55CB3C67605" ma:contentTypeVersion="20" ma:contentTypeDescription="Create a new document." ma:contentTypeScope="" ma:versionID="b0b03190b1f2b8f44e5a8461b7e786d8">
  <xsd:schema xmlns:xsd="http://www.w3.org/2001/XMLSchema" xmlns:xs="http://www.w3.org/2001/XMLSchema" xmlns:p="http://schemas.microsoft.com/office/2006/metadata/properties" xmlns:ns1="http://schemas.microsoft.com/sharepoint/v3" xmlns:ns3="3e43c297-4f36-4467-b1da-350f845d4836" xmlns:ns4="150c89e8-bda6-41f5-a88f-d43830c37518" targetNamespace="http://schemas.microsoft.com/office/2006/metadata/properties" ma:root="true" ma:fieldsID="a935bbac2f07cf03026642edf379d271" ns1:_="" ns3:_="" ns4:_="">
    <xsd:import namespace="http://schemas.microsoft.com/sharepoint/v3"/>
    <xsd:import namespace="3e43c297-4f36-4467-b1da-350f845d4836"/>
    <xsd:import namespace="150c89e8-bda6-41f5-a88f-d43830c375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3c297-4f36-4467-b1da-350f845d48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c89e8-bda6-41f5-a88f-d43830c37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150c89e8-bda6-41f5-a88f-d43830c37518" xsi:nil="true"/>
  </documentManagement>
</p:properties>
</file>

<file path=customXml/itemProps1.xml><?xml version="1.0" encoding="utf-8"?>
<ds:datastoreItem xmlns:ds="http://schemas.openxmlformats.org/officeDocument/2006/customXml" ds:itemID="{69357B1D-59BE-46C8-A714-8D2773DDA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e43c297-4f36-4467-b1da-350f845d4836"/>
    <ds:schemaRef ds:uri="150c89e8-bda6-41f5-a88f-d43830c375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AC1AA5-615D-41F1-8324-3198BE445686}">
  <ds:schemaRefs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150c89e8-bda6-41f5-a88f-d43830c37518"/>
    <ds:schemaRef ds:uri="3e43c297-4f36-4467-b1da-350f845d4836"/>
    <ds:schemaRef ds:uri="http://schemas.microsoft.com/sharepoint/v3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19</vt:i4>
      </vt:variant>
      <vt:variant>
        <vt:lpstr>Navngitte områder</vt:lpstr>
      </vt:variant>
      <vt:variant>
        <vt:i4>8</vt:i4>
      </vt:variant>
    </vt:vector>
  </HeadingPairs>
  <TitlesOfParts>
    <vt:vector size="27" baseType="lpstr">
      <vt:lpstr>0. Oppsett</vt:lpstr>
      <vt:lpstr>1. BASIL-rådata</vt:lpstr>
      <vt:lpstr>1.B BASIL-resultatregnskap</vt:lpstr>
      <vt:lpstr>Telling barn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17000</vt:lpstr>
      <vt:lpstr>17500</vt:lpstr>
      <vt:lpstr>17002</vt:lpstr>
      <vt:lpstr>Erasmus</vt:lpstr>
      <vt:lpstr>Forsikringer</vt:lpstr>
      <vt:lpstr>Pensjon Særskilt</vt:lpstr>
      <vt:lpstr>Metadata</vt:lpstr>
      <vt:lpstr>Endringslogg</vt:lpstr>
      <vt:lpstr>'17000'!Barnehagetype</vt:lpstr>
      <vt:lpstr>'X. Budsjett og forskuddsmodul'!Barnehagetype</vt:lpstr>
      <vt:lpstr>Barnehagetype</vt:lpstr>
      <vt:lpstr>'17000'!Gruppering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Vedlegg 2 - Beregningsgrunnlag</dc:title>
  <dc:subject/>
  <dc:creator>openpyxl</dc:creator>
  <cp:keywords/>
  <dc:description/>
  <cp:lastModifiedBy>Kjersti Røsberg Klokseth</cp:lastModifiedBy>
  <cp:revision/>
  <cp:lastPrinted>2026-06-26T11:55:38Z</cp:lastPrinted>
  <dcterms:created xsi:type="dcterms:W3CDTF">2026-02-26T08:14:50Z</dcterms:created>
  <dcterms:modified xsi:type="dcterms:W3CDTF">2026-06-26T11:58:21Z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0x0101005583834AE21FA4439647E55CB3C67605</vt:lpwstr>
  </property>
</Properties>
</file>